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0-САЙТЫ-XL\xl\smeth\"/>
    </mc:Choice>
  </mc:AlternateContent>
  <bookViews>
    <workbookView xWindow="0" yWindow="0" windowWidth="23040" windowHeight="10452" tabRatio="893"/>
  </bookViews>
  <sheets>
    <sheet name="методология" sheetId="21" r:id="rId1"/>
    <sheet name="условия" sheetId="18" r:id="rId2"/>
    <sheet name="ежемесячно" sheetId="20" r:id="rId3"/>
  </sheets>
  <calcPr calcId="162913"/>
</workbook>
</file>

<file path=xl/calcChain.xml><?xml version="1.0" encoding="utf-8"?>
<calcChain xmlns="http://schemas.openxmlformats.org/spreadsheetml/2006/main">
  <c r="E4" i="21" l="1"/>
  <c r="H88" i="20" l="1"/>
  <c r="L87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E72" i="18"/>
  <c r="M87" i="20" l="1"/>
  <c r="N87" i="20" l="1"/>
  <c r="O87" i="20" l="1"/>
  <c r="P87" i="20" l="1"/>
  <c r="Q87" i="20" l="1"/>
  <c r="R87" i="20" l="1"/>
  <c r="S87" i="20" l="1"/>
  <c r="T87" i="20" l="1"/>
  <c r="U87" i="20" l="1"/>
  <c r="V87" i="20" l="1"/>
  <c r="W87" i="20" l="1"/>
  <c r="X87" i="20" l="1"/>
  <c r="Y87" i="20" l="1"/>
  <c r="Z87" i="20" l="1"/>
  <c r="AA87" i="20" l="1"/>
  <c r="AB87" i="20" l="1"/>
  <c r="AC87" i="20" l="1"/>
  <c r="AD87" i="20" l="1"/>
  <c r="AE87" i="20" l="1"/>
  <c r="AF87" i="20" l="1"/>
  <c r="AG87" i="20" l="1"/>
  <c r="AH87" i="20" l="1"/>
  <c r="AI87" i="20" l="1"/>
  <c r="AJ87" i="20" l="1"/>
  <c r="AK87" i="20" l="1"/>
  <c r="AL87" i="20" l="1"/>
  <c r="AM87" i="20" l="1"/>
  <c r="AN87" i="20" l="1"/>
  <c r="AO87" i="20" l="1"/>
  <c r="AP87" i="20" l="1"/>
  <c r="AQ87" i="20" l="1"/>
  <c r="AR87" i="20" l="1"/>
  <c r="AS87" i="20" l="1"/>
  <c r="AT87" i="20" l="1"/>
  <c r="AU87" i="20" l="1"/>
  <c r="AV87" i="20" l="1"/>
  <c r="AW87" i="20" l="1"/>
  <c r="AX87" i="20" l="1"/>
  <c r="AY87" i="20" l="1"/>
  <c r="AZ87" i="20" l="1"/>
  <c r="BA87" i="20" l="1"/>
  <c r="BB87" i="20" l="1"/>
  <c r="BC87" i="20" l="1"/>
  <c r="BD87" i="20" l="1"/>
  <c r="BE87" i="20" l="1"/>
  <c r="BF87" i="20" l="1"/>
  <c r="BG87" i="20" l="1"/>
  <c r="BH87" i="20" l="1"/>
  <c r="BI87" i="20" l="1"/>
  <c r="BJ87" i="20" l="1"/>
  <c r="BK87" i="20" l="1"/>
  <c r="BL87" i="20" l="1"/>
  <c r="BM87" i="20" l="1"/>
  <c r="BN87" i="20" l="1"/>
  <c r="BO87" i="20" l="1"/>
  <c r="BP87" i="20" l="1"/>
  <c r="BQ87" i="20" l="1"/>
  <c r="BR87" i="20" l="1"/>
  <c r="BS87" i="20" l="1"/>
  <c r="BT87" i="20" l="1"/>
  <c r="BU87" i="20" l="1"/>
  <c r="BV87" i="20" l="1"/>
  <c r="BW87" i="20" l="1"/>
  <c r="BX87" i="20" l="1"/>
  <c r="BY87" i="20" l="1"/>
  <c r="BZ87" i="20" l="1"/>
  <c r="CA87" i="20" l="1"/>
  <c r="CB87" i="20" l="1"/>
  <c r="CC87" i="20" l="1"/>
  <c r="CD87" i="20" l="1"/>
  <c r="CE87" i="20" l="1"/>
  <c r="M6" i="20" l="1"/>
  <c r="N6" i="20" s="1"/>
  <c r="O6" i="20" s="1"/>
  <c r="P6" i="20" s="1"/>
  <c r="Q6" i="20" s="1"/>
  <c r="R6" i="20" s="1"/>
  <c r="S6" i="20" s="1"/>
  <c r="T6" i="20" s="1"/>
  <c r="U6" i="20" s="1"/>
  <c r="V6" i="20" s="1"/>
  <c r="W6" i="20" s="1"/>
  <c r="X6" i="20" s="1"/>
  <c r="Y6" i="20" s="1"/>
  <c r="Z6" i="20" s="1"/>
  <c r="AA6" i="20" s="1"/>
  <c r="AB6" i="20" s="1"/>
  <c r="AC6" i="20" s="1"/>
  <c r="AD6" i="20" s="1"/>
  <c r="AE6" i="20" s="1"/>
  <c r="AF6" i="20" s="1"/>
  <c r="AG6" i="20" s="1"/>
  <c r="AH6" i="20" s="1"/>
  <c r="AI6" i="20" s="1"/>
  <c r="AJ6" i="20" s="1"/>
  <c r="AK6" i="20" s="1"/>
  <c r="AL6" i="20" s="1"/>
  <c r="AM6" i="20" s="1"/>
  <c r="AN6" i="20" s="1"/>
  <c r="AO6" i="20" s="1"/>
  <c r="AP6" i="20" s="1"/>
  <c r="AQ6" i="20" s="1"/>
  <c r="AR6" i="20" s="1"/>
  <c r="AS6" i="20" s="1"/>
  <c r="AT6" i="20" s="1"/>
  <c r="AU6" i="20" s="1"/>
  <c r="AV6" i="20" s="1"/>
  <c r="AW6" i="20" s="1"/>
  <c r="AX6" i="20" s="1"/>
  <c r="AY6" i="20" s="1"/>
  <c r="AZ6" i="20" s="1"/>
  <c r="BA6" i="20" s="1"/>
  <c r="BB6" i="20" s="1"/>
  <c r="BC6" i="20" s="1"/>
  <c r="BD6" i="20" s="1"/>
  <c r="BE6" i="20" s="1"/>
  <c r="BF6" i="20" s="1"/>
  <c r="BG6" i="20" s="1"/>
  <c r="BH6" i="20" s="1"/>
  <c r="BI6" i="20" s="1"/>
  <c r="BJ6" i="20" s="1"/>
  <c r="BK6" i="20" s="1"/>
  <c r="BL6" i="20" s="1"/>
  <c r="BM6" i="20" s="1"/>
  <c r="BN6" i="20" s="1"/>
  <c r="BO6" i="20" s="1"/>
  <c r="BP6" i="20" s="1"/>
  <c r="BQ6" i="20" s="1"/>
  <c r="BR6" i="20" s="1"/>
  <c r="BS6" i="20" s="1"/>
  <c r="BT6" i="20" s="1"/>
  <c r="BU6" i="20" s="1"/>
  <c r="BV6" i="20" s="1"/>
  <c r="BW6" i="20" s="1"/>
  <c r="BX6" i="20" s="1"/>
  <c r="BY6" i="20" s="1"/>
  <c r="BZ6" i="20" s="1"/>
  <c r="CA6" i="20" s="1"/>
  <c r="CB6" i="20" s="1"/>
  <c r="CC6" i="20" s="1"/>
  <c r="CD6" i="20" s="1"/>
  <c r="CE6" i="20" s="1"/>
  <c r="J16" i="20"/>
  <c r="J15" i="20"/>
  <c r="J14" i="20"/>
  <c r="J13" i="20"/>
  <c r="J12" i="20"/>
  <c r="J11" i="20"/>
  <c r="J10" i="20"/>
  <c r="J26" i="20"/>
  <c r="L28" i="20" l="1"/>
  <c r="E6" i="18" l="1"/>
  <c r="I6" i="18" l="1"/>
  <c r="L57" i="20"/>
  <c r="J57" i="20" s="1"/>
  <c r="C41" i="20"/>
  <c r="C43" i="20"/>
  <c r="C42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4" i="20" s="1"/>
  <c r="J67" i="20"/>
  <c r="H49" i="20" l="1"/>
  <c r="H65" i="20" l="1"/>
  <c r="L54" i="20"/>
  <c r="H39" i="20" l="1"/>
  <c r="J29" i="20"/>
  <c r="J27" i="20"/>
  <c r="L2" i="20"/>
  <c r="H22" i="20"/>
  <c r="H21" i="20"/>
  <c r="H19" i="20"/>
  <c r="L1" i="20"/>
  <c r="J18" i="20"/>
  <c r="J17" i="20"/>
  <c r="E49" i="18"/>
  <c r="F49" i="18" s="1"/>
  <c r="E29" i="18"/>
  <c r="F29" i="18" s="1"/>
  <c r="E25" i="18"/>
  <c r="F25" i="18" s="1"/>
  <c r="M7" i="20"/>
  <c r="M28" i="20" l="1"/>
  <c r="H23" i="20"/>
  <c r="J23" i="20" s="1"/>
  <c r="I25" i="18" s="1"/>
  <c r="M2" i="20"/>
  <c r="N7" i="20"/>
  <c r="M54" i="20"/>
  <c r="H20" i="20"/>
  <c r="J21" i="20"/>
  <c r="M1" i="20"/>
  <c r="J19" i="20"/>
  <c r="J22" i="20" l="1"/>
  <c r="I29" i="18" s="1"/>
  <c r="I28" i="18"/>
  <c r="N1" i="20"/>
  <c r="O7" i="20"/>
  <c r="N54" i="20"/>
  <c r="N2" i="20"/>
  <c r="N28" i="20"/>
  <c r="J20" i="20"/>
  <c r="J9" i="20" l="1"/>
  <c r="I24" i="18"/>
  <c r="I26" i="18" s="1"/>
  <c r="I27" i="18" s="1"/>
  <c r="P7" i="20"/>
  <c r="O54" i="20"/>
  <c r="O2" i="20"/>
  <c r="O28" i="20"/>
  <c r="O1" i="20"/>
  <c r="J31" i="20" l="1"/>
  <c r="I9" i="18" s="1"/>
  <c r="Q7" i="20"/>
  <c r="P54" i="20"/>
  <c r="P2" i="20"/>
  <c r="P28" i="20"/>
  <c r="P1" i="20"/>
  <c r="R7" i="20" l="1"/>
  <c r="Q54" i="20"/>
  <c r="Q2" i="20"/>
  <c r="Q28" i="20"/>
  <c r="Q1" i="20"/>
  <c r="R53" i="20" l="1"/>
  <c r="L53" i="20"/>
  <c r="M53" i="20"/>
  <c r="N53" i="20"/>
  <c r="O53" i="20"/>
  <c r="P53" i="20"/>
  <c r="Q53" i="20"/>
  <c r="S7" i="20"/>
  <c r="R54" i="20"/>
  <c r="R1" i="20"/>
  <c r="R28" i="20"/>
  <c r="R2" i="20"/>
  <c r="S53" i="20" l="1"/>
  <c r="T7" i="20"/>
  <c r="S54" i="20"/>
  <c r="S2" i="20"/>
  <c r="S28" i="20"/>
  <c r="S1" i="20"/>
  <c r="T53" i="20" l="1"/>
  <c r="U7" i="20"/>
  <c r="T54" i="20"/>
  <c r="T28" i="20"/>
  <c r="T2" i="20"/>
  <c r="T1" i="20"/>
  <c r="U53" i="20" l="1"/>
  <c r="V7" i="20"/>
  <c r="U54" i="20"/>
  <c r="U28" i="20"/>
  <c r="U1" i="20"/>
  <c r="U2" i="20"/>
  <c r="V53" i="20" l="1"/>
  <c r="V2" i="20"/>
  <c r="V1" i="20"/>
  <c r="W7" i="20"/>
  <c r="V54" i="20"/>
  <c r="V28" i="20"/>
  <c r="W53" i="20" l="1"/>
  <c r="X7" i="20"/>
  <c r="W54" i="20"/>
  <c r="W28" i="20"/>
  <c r="W1" i="20"/>
  <c r="W2" i="20"/>
  <c r="X53" i="20" l="1"/>
  <c r="X1" i="20"/>
  <c r="Y7" i="20"/>
  <c r="X54" i="20"/>
  <c r="X28" i="20"/>
  <c r="X2" i="20"/>
  <c r="Y53" i="20" l="1"/>
  <c r="Z7" i="20"/>
  <c r="Y54" i="20"/>
  <c r="Y28" i="20"/>
  <c r="Y2" i="20"/>
  <c r="Y1" i="20"/>
  <c r="Z53" i="20" l="1"/>
  <c r="AA7" i="20"/>
  <c r="Z28" i="20"/>
  <c r="Z2" i="20"/>
  <c r="Z1" i="20"/>
  <c r="AA53" i="20" l="1"/>
  <c r="AA1" i="20"/>
  <c r="AB7" i="20"/>
  <c r="AA54" i="20"/>
  <c r="AA28" i="20"/>
  <c r="AA2" i="20"/>
  <c r="AB53" i="20" l="1"/>
  <c r="AC7" i="20"/>
  <c r="AB54" i="20"/>
  <c r="AB28" i="20"/>
  <c r="AB2" i="20"/>
  <c r="AB1" i="20"/>
  <c r="AC53" i="20" l="1"/>
  <c r="AC1" i="20"/>
  <c r="AD7" i="20"/>
  <c r="AC54" i="20"/>
  <c r="AC28" i="20"/>
  <c r="AC2" i="20"/>
  <c r="AD53" i="20" l="1"/>
  <c r="AD1" i="20"/>
  <c r="AE7" i="20"/>
  <c r="AD54" i="20"/>
  <c r="AD28" i="20"/>
  <c r="AD2" i="20"/>
  <c r="AE53" i="20" l="1"/>
  <c r="AF7" i="20"/>
  <c r="AE54" i="20"/>
  <c r="AE28" i="20"/>
  <c r="AE2" i="20"/>
  <c r="AE1" i="20"/>
  <c r="AF53" i="20" l="1"/>
  <c r="AF1" i="20"/>
  <c r="AG7" i="20"/>
  <c r="AF54" i="20"/>
  <c r="AF28" i="20"/>
  <c r="AF2" i="20"/>
  <c r="AG53" i="20" l="1"/>
  <c r="AH7" i="20"/>
  <c r="AG54" i="20"/>
  <c r="AG28" i="20"/>
  <c r="AG2" i="20"/>
  <c r="AG1" i="20"/>
  <c r="AH53" i="20" l="1"/>
  <c r="AH1" i="20"/>
  <c r="AI7" i="20"/>
  <c r="AH54" i="20"/>
  <c r="AH28" i="20"/>
  <c r="AH2" i="20"/>
  <c r="AI53" i="20" l="1"/>
  <c r="AJ7" i="20"/>
  <c r="AI54" i="20"/>
  <c r="AI28" i="20"/>
  <c r="AI2" i="20"/>
  <c r="AI1" i="20"/>
  <c r="AJ53" i="20" l="1"/>
  <c r="AJ1" i="20"/>
  <c r="AK7" i="20"/>
  <c r="AJ54" i="20"/>
  <c r="AJ28" i="20"/>
  <c r="AJ2" i="20"/>
  <c r="AK53" i="20" l="1"/>
  <c r="AL7" i="20"/>
  <c r="AK54" i="20"/>
  <c r="AK28" i="20"/>
  <c r="AK2" i="20"/>
  <c r="AK1" i="20"/>
  <c r="AL53" i="20" l="1"/>
  <c r="AL1" i="20"/>
  <c r="AM7" i="20"/>
  <c r="AL54" i="20"/>
  <c r="AL28" i="20"/>
  <c r="AL2" i="20"/>
  <c r="AM53" i="20" l="1"/>
  <c r="AN7" i="20"/>
  <c r="AM54" i="20"/>
  <c r="AM28" i="20"/>
  <c r="AM2" i="20"/>
  <c r="AM1" i="20"/>
  <c r="AN53" i="20" l="1"/>
  <c r="AN1" i="20"/>
  <c r="AO7" i="20"/>
  <c r="AN54" i="20"/>
  <c r="AN28" i="20"/>
  <c r="AN2" i="20"/>
  <c r="AO53" i="20" l="1"/>
  <c r="AP7" i="20"/>
  <c r="AO54" i="20"/>
  <c r="AO28" i="20"/>
  <c r="AO2" i="20"/>
  <c r="AO1" i="20"/>
  <c r="AP53" i="20" l="1"/>
  <c r="AP1" i="20"/>
  <c r="AQ7" i="20"/>
  <c r="AP54" i="20"/>
  <c r="AP28" i="20"/>
  <c r="AP2" i="20"/>
  <c r="AQ53" i="20" l="1"/>
  <c r="AR7" i="20"/>
  <c r="AQ54" i="20"/>
  <c r="AQ28" i="20"/>
  <c r="AQ2" i="20"/>
  <c r="AQ1" i="20"/>
  <c r="AR53" i="20" l="1"/>
  <c r="AR1" i="20"/>
  <c r="AS7" i="20"/>
  <c r="AR54" i="20"/>
  <c r="AR28" i="20"/>
  <c r="AR2" i="20"/>
  <c r="AS53" i="20" l="1"/>
  <c r="AT7" i="20"/>
  <c r="AS54" i="20"/>
  <c r="AS28" i="20"/>
  <c r="AS2" i="20"/>
  <c r="AS1" i="20"/>
  <c r="AT53" i="20" l="1"/>
  <c r="AT1" i="20"/>
  <c r="AU7" i="20"/>
  <c r="AT54" i="20"/>
  <c r="AT28" i="20"/>
  <c r="AT2" i="20"/>
  <c r="AU53" i="20" l="1"/>
  <c r="AV7" i="20"/>
  <c r="AU54" i="20"/>
  <c r="AU28" i="20"/>
  <c r="AU2" i="20"/>
  <c r="AU1" i="20"/>
  <c r="AV53" i="20" l="1"/>
  <c r="AV1" i="20"/>
  <c r="AW7" i="20"/>
  <c r="AV54" i="20"/>
  <c r="AV28" i="20"/>
  <c r="AV2" i="20"/>
  <c r="AW53" i="20" l="1"/>
  <c r="AX7" i="20"/>
  <c r="AW54" i="20"/>
  <c r="AW28" i="20"/>
  <c r="AW2" i="20"/>
  <c r="AW1" i="20"/>
  <c r="AX53" i="20" l="1"/>
  <c r="AX1" i="20"/>
  <c r="AY7" i="20"/>
  <c r="AX55" i="20"/>
  <c r="AX41" i="20" s="1"/>
  <c r="AX28" i="20"/>
  <c r="AX2" i="20"/>
  <c r="AY53" i="20" l="1"/>
  <c r="AZ7" i="20"/>
  <c r="AY54" i="20"/>
  <c r="AY55" i="20"/>
  <c r="AY41" i="20" s="1"/>
  <c r="AY1" i="20"/>
  <c r="AY28" i="20"/>
  <c r="AY2" i="20"/>
  <c r="AZ53" i="20" l="1"/>
  <c r="BA7" i="20"/>
  <c r="AZ55" i="20"/>
  <c r="AZ41" i="20" s="1"/>
  <c r="AZ54" i="20"/>
  <c r="AZ28" i="20"/>
  <c r="AZ1" i="20"/>
  <c r="AZ2" i="20"/>
  <c r="BA53" i="20" l="1"/>
  <c r="BB7" i="20"/>
  <c r="BA54" i="20"/>
  <c r="BA55" i="20"/>
  <c r="BA41" i="20" s="1"/>
  <c r="BA28" i="20"/>
  <c r="BA1" i="20"/>
  <c r="BA2" i="20"/>
  <c r="BB53" i="20" l="1"/>
  <c r="BC7" i="20"/>
  <c r="BB55" i="20"/>
  <c r="BB41" i="20" s="1"/>
  <c r="BB54" i="20"/>
  <c r="BB1" i="20"/>
  <c r="BB28" i="20"/>
  <c r="BB2" i="20"/>
  <c r="BC53" i="20" l="1"/>
  <c r="BD7" i="20"/>
  <c r="BC55" i="20"/>
  <c r="BC41" i="20" s="1"/>
  <c r="BC54" i="20"/>
  <c r="BC28" i="20"/>
  <c r="BC1" i="20"/>
  <c r="BC2" i="20"/>
  <c r="BD53" i="20" l="1"/>
  <c r="BE7" i="20"/>
  <c r="BD55" i="20"/>
  <c r="BD41" i="20" s="1"/>
  <c r="BD54" i="20"/>
  <c r="BD1" i="20"/>
  <c r="BD28" i="20"/>
  <c r="BD2" i="20"/>
  <c r="BE53" i="20" l="1"/>
  <c r="BF7" i="20"/>
  <c r="BE54" i="20"/>
  <c r="BE55" i="20"/>
  <c r="BE41" i="20" s="1"/>
  <c r="BE1" i="20"/>
  <c r="BE28" i="20"/>
  <c r="BE2" i="20"/>
  <c r="BF53" i="20" l="1"/>
  <c r="BG7" i="20"/>
  <c r="BF54" i="20"/>
  <c r="BF55" i="20"/>
  <c r="BF41" i="20" s="1"/>
  <c r="BF1" i="20"/>
  <c r="BF28" i="20"/>
  <c r="BF2" i="20"/>
  <c r="BG53" i="20" l="1"/>
  <c r="BH7" i="20"/>
  <c r="BG54" i="20"/>
  <c r="BG55" i="20"/>
  <c r="BG41" i="20" s="1"/>
  <c r="BG28" i="20"/>
  <c r="BG1" i="20"/>
  <c r="BG2" i="20"/>
  <c r="BH53" i="20" l="1"/>
  <c r="BI7" i="20"/>
  <c r="BH55" i="20"/>
  <c r="BH41" i="20" s="1"/>
  <c r="BH54" i="20"/>
  <c r="BH28" i="20"/>
  <c r="BH1" i="20"/>
  <c r="BH2" i="20"/>
  <c r="BI53" i="20" l="1"/>
  <c r="BJ7" i="20"/>
  <c r="BI55" i="20"/>
  <c r="BI41" i="20" s="1"/>
  <c r="BI54" i="20"/>
  <c r="BI28" i="20"/>
  <c r="BI1" i="20"/>
  <c r="BI2" i="20"/>
  <c r="BJ53" i="20" l="1"/>
  <c r="BK7" i="20"/>
  <c r="BJ55" i="20"/>
  <c r="BJ41" i="20" s="1"/>
  <c r="BJ54" i="20"/>
  <c r="BJ1" i="20"/>
  <c r="BJ28" i="20"/>
  <c r="BJ2" i="20"/>
  <c r="BK53" i="20" l="1"/>
  <c r="BL7" i="20"/>
  <c r="BK55" i="20"/>
  <c r="BK41" i="20" s="1"/>
  <c r="BK54" i="20"/>
  <c r="BK28" i="20"/>
  <c r="BK17" i="20"/>
  <c r="BK1" i="20"/>
  <c r="BK18" i="20"/>
  <c r="BK2" i="20"/>
  <c r="BL53" i="20" l="1"/>
  <c r="BK21" i="20"/>
  <c r="BK22" i="20" s="1"/>
  <c r="BK19" i="20"/>
  <c r="BM7" i="20"/>
  <c r="BL55" i="20"/>
  <c r="BL41" i="20" s="1"/>
  <c r="BL54" i="20"/>
  <c r="BL17" i="20"/>
  <c r="BL1" i="20"/>
  <c r="BL28" i="20"/>
  <c r="BL18" i="20"/>
  <c r="BL2" i="20"/>
  <c r="BK23" i="20"/>
  <c r="BK20" i="20"/>
  <c r="BM53" i="20" l="1"/>
  <c r="BL21" i="20"/>
  <c r="BL22" i="20" s="1"/>
  <c r="BL19" i="20"/>
  <c r="BL23" i="20"/>
  <c r="BK9" i="20"/>
  <c r="BL20" i="20"/>
  <c r="BN7" i="20"/>
  <c r="BM54" i="20"/>
  <c r="BM55" i="20"/>
  <c r="BM41" i="20" s="1"/>
  <c r="BM1" i="20"/>
  <c r="BM28" i="20"/>
  <c r="BM17" i="20"/>
  <c r="BM18" i="20"/>
  <c r="BM21" i="20" s="1"/>
  <c r="BM22" i="20" s="1"/>
  <c r="BM2" i="20"/>
  <c r="BN53" i="20" l="1"/>
  <c r="BM19" i="20"/>
  <c r="BL9" i="20"/>
  <c r="BO7" i="20"/>
  <c r="BN54" i="20"/>
  <c r="BN55" i="20"/>
  <c r="BN41" i="20" s="1"/>
  <c r="BN1" i="20"/>
  <c r="BN17" i="20"/>
  <c r="BN18" i="20"/>
  <c r="BN28" i="20"/>
  <c r="BN2" i="20"/>
  <c r="BM23" i="20"/>
  <c r="BM20" i="20"/>
  <c r="BO53" i="20" l="1"/>
  <c r="BN21" i="20"/>
  <c r="BN22" i="20" s="1"/>
  <c r="BN19" i="20"/>
  <c r="BM9" i="20"/>
  <c r="BP7" i="20"/>
  <c r="BO54" i="20"/>
  <c r="BO55" i="20"/>
  <c r="BO41" i="20" s="1"/>
  <c r="BO28" i="20"/>
  <c r="BO18" i="20"/>
  <c r="BO17" i="20"/>
  <c r="BO1" i="20"/>
  <c r="BO2" i="20"/>
  <c r="BN23" i="20"/>
  <c r="BN20" i="20"/>
  <c r="BP53" i="20" l="1"/>
  <c r="BO19" i="20"/>
  <c r="BO21" i="20"/>
  <c r="BO22" i="20" s="1"/>
  <c r="BO20" i="20"/>
  <c r="BO23" i="20"/>
  <c r="BQ7" i="20"/>
  <c r="BP55" i="20"/>
  <c r="BP41" i="20" s="1"/>
  <c r="BP54" i="20"/>
  <c r="BP28" i="20"/>
  <c r="BP18" i="20"/>
  <c r="BP21" i="20" s="1"/>
  <c r="BP22" i="20" s="1"/>
  <c r="BP1" i="20"/>
  <c r="BP17" i="20"/>
  <c r="BP2" i="20"/>
  <c r="BN9" i="20"/>
  <c r="BQ53" i="20" l="1"/>
  <c r="BP19" i="20"/>
  <c r="BP20" i="20"/>
  <c r="BP23" i="20"/>
  <c r="BO9" i="20"/>
  <c r="BR7" i="20"/>
  <c r="BQ55" i="20"/>
  <c r="BQ41" i="20" s="1"/>
  <c r="BQ54" i="20"/>
  <c r="BQ28" i="20"/>
  <c r="BQ18" i="20"/>
  <c r="BQ1" i="20"/>
  <c r="BQ17" i="20"/>
  <c r="BQ2" i="20"/>
  <c r="BR53" i="20" l="1"/>
  <c r="BQ19" i="20"/>
  <c r="BQ21" i="20"/>
  <c r="BQ22" i="20" s="1"/>
  <c r="BQ23" i="20"/>
  <c r="BS7" i="20"/>
  <c r="BR55" i="20"/>
  <c r="BR41" i="20" s="1"/>
  <c r="BR54" i="20"/>
  <c r="BR17" i="20"/>
  <c r="BR18" i="20"/>
  <c r="BR1" i="20"/>
  <c r="BR28" i="20"/>
  <c r="BR2" i="20"/>
  <c r="BP9" i="20"/>
  <c r="BQ20" i="20"/>
  <c r="BS53" i="20" l="1"/>
  <c r="BR21" i="20"/>
  <c r="BR22" i="20" s="1"/>
  <c r="BR19" i="20"/>
  <c r="BQ9" i="20"/>
  <c r="BR23" i="20"/>
  <c r="BR20" i="20"/>
  <c r="BT7" i="20"/>
  <c r="BS55" i="20"/>
  <c r="BS41" i="20" s="1"/>
  <c r="BS54" i="20"/>
  <c r="BS28" i="20"/>
  <c r="BS17" i="20"/>
  <c r="BS1" i="20"/>
  <c r="BS18" i="20"/>
  <c r="BS2" i="20"/>
  <c r="BT53" i="20" l="1"/>
  <c r="BS21" i="20"/>
  <c r="BS22" i="20" s="1"/>
  <c r="BS19" i="20"/>
  <c r="BR9" i="20"/>
  <c r="BS20" i="20"/>
  <c r="BU7" i="20"/>
  <c r="BT55" i="20"/>
  <c r="BT41" i="20" s="1"/>
  <c r="BT54" i="20"/>
  <c r="BT17" i="20"/>
  <c r="BT28" i="20"/>
  <c r="BT18" i="20"/>
  <c r="BT1" i="20"/>
  <c r="BT2" i="20"/>
  <c r="BS23" i="20"/>
  <c r="BU53" i="20" l="1"/>
  <c r="BT19" i="20"/>
  <c r="BT21" i="20"/>
  <c r="BT22" i="20" s="1"/>
  <c r="BS9" i="20"/>
  <c r="BT23" i="20"/>
  <c r="BT20" i="20"/>
  <c r="BV7" i="20"/>
  <c r="BU54" i="20"/>
  <c r="BU55" i="20"/>
  <c r="BU41" i="20" s="1"/>
  <c r="BU28" i="20"/>
  <c r="BU18" i="20"/>
  <c r="BU21" i="20" s="1"/>
  <c r="BU22" i="20" s="1"/>
  <c r="BU1" i="20"/>
  <c r="BU17" i="20"/>
  <c r="BU2" i="20"/>
  <c r="BV53" i="20" l="1"/>
  <c r="BU19" i="20"/>
  <c r="BT9" i="20"/>
  <c r="BU20" i="20"/>
  <c r="BU23" i="20"/>
  <c r="BW7" i="20"/>
  <c r="BV54" i="20"/>
  <c r="BV55" i="20"/>
  <c r="BV41" i="20" s="1"/>
  <c r="BV1" i="20"/>
  <c r="BV18" i="20"/>
  <c r="BV28" i="20"/>
  <c r="BV17" i="20"/>
  <c r="BV2" i="20"/>
  <c r="BW53" i="20" l="1"/>
  <c r="BV19" i="20"/>
  <c r="BV21" i="20"/>
  <c r="BV22" i="20" s="1"/>
  <c r="BV23" i="20"/>
  <c r="BX7" i="20"/>
  <c r="BW54" i="20"/>
  <c r="BW55" i="20"/>
  <c r="BW41" i="20" s="1"/>
  <c r="BW28" i="20"/>
  <c r="BW2" i="20"/>
  <c r="BW17" i="20"/>
  <c r="BW18" i="20"/>
  <c r="BW1" i="20"/>
  <c r="BV20" i="20"/>
  <c r="BU9" i="20"/>
  <c r="BX53" i="20" l="1"/>
  <c r="BW21" i="20"/>
  <c r="BW22" i="20" s="1"/>
  <c r="BW19" i="20"/>
  <c r="BV9" i="20"/>
  <c r="BY7" i="20"/>
  <c r="BX55" i="20"/>
  <c r="BX41" i="20" s="1"/>
  <c r="BX54" i="20"/>
  <c r="BX2" i="20"/>
  <c r="BX18" i="20"/>
  <c r="BX21" i="20" s="1"/>
  <c r="BX22" i="20" s="1"/>
  <c r="BX1" i="20"/>
  <c r="BX28" i="20"/>
  <c r="BX17" i="20"/>
  <c r="BW23" i="20"/>
  <c r="BW20" i="20"/>
  <c r="BY53" i="20" l="1"/>
  <c r="BX19" i="20"/>
  <c r="BW9" i="20"/>
  <c r="BX20" i="20"/>
  <c r="BX23" i="20"/>
  <c r="BZ7" i="20"/>
  <c r="BY54" i="20"/>
  <c r="BY55" i="20"/>
  <c r="BY41" i="20" s="1"/>
  <c r="BY2" i="20"/>
  <c r="BY18" i="20"/>
  <c r="BY28" i="20"/>
  <c r="BY1" i="20"/>
  <c r="BY17" i="20"/>
  <c r="BZ53" i="20" l="1"/>
  <c r="BY19" i="20"/>
  <c r="BY21" i="20"/>
  <c r="BY22" i="20" s="1"/>
  <c r="BY23" i="20"/>
  <c r="BX9" i="20"/>
  <c r="CA7" i="20"/>
  <c r="BZ55" i="20"/>
  <c r="BZ41" i="20" s="1"/>
  <c r="BZ54" i="20"/>
  <c r="BZ2" i="20"/>
  <c r="BZ17" i="20"/>
  <c r="BZ1" i="20"/>
  <c r="BZ28" i="20"/>
  <c r="BZ18" i="20"/>
  <c r="BY20" i="20"/>
  <c r="CA53" i="20" l="1"/>
  <c r="BZ21" i="20"/>
  <c r="BZ22" i="20" s="1"/>
  <c r="BZ19" i="20"/>
  <c r="BY9" i="20"/>
  <c r="BZ23" i="20"/>
  <c r="BZ20" i="20"/>
  <c r="CB7" i="20"/>
  <c r="CA55" i="20"/>
  <c r="CA41" i="20" s="1"/>
  <c r="CA54" i="20"/>
  <c r="CA2" i="20"/>
  <c r="CA1" i="20"/>
  <c r="CA28" i="20"/>
  <c r="CA18" i="20"/>
  <c r="CA17" i="20"/>
  <c r="CB53" i="20" l="1"/>
  <c r="CA19" i="20"/>
  <c r="CA21" i="20"/>
  <c r="CA22" i="20" s="1"/>
  <c r="BZ9" i="20"/>
  <c r="CA23" i="20"/>
  <c r="CA20" i="20"/>
  <c r="CC7" i="20"/>
  <c r="CB55" i="20"/>
  <c r="CB41" i="20" s="1"/>
  <c r="CB54" i="20"/>
  <c r="CB2" i="20"/>
  <c r="CB17" i="20"/>
  <c r="CB28" i="20"/>
  <c r="CB18" i="20"/>
  <c r="CB1" i="20"/>
  <c r="CC53" i="20" l="1"/>
  <c r="CB19" i="20"/>
  <c r="CB21" i="20"/>
  <c r="CB22" i="20" s="1"/>
  <c r="CA9" i="20"/>
  <c r="CB20" i="20"/>
  <c r="CB23" i="20"/>
  <c r="CD7" i="20"/>
  <c r="CC54" i="20"/>
  <c r="CC55" i="20"/>
  <c r="CC41" i="20" s="1"/>
  <c r="CC2" i="20"/>
  <c r="CC28" i="20"/>
  <c r="CC18" i="20"/>
  <c r="CC21" i="20" s="1"/>
  <c r="CC22" i="20" s="1"/>
  <c r="CC17" i="20"/>
  <c r="CC1" i="20"/>
  <c r="CD53" i="20" l="1"/>
  <c r="CC19" i="20"/>
  <c r="CB9" i="20"/>
  <c r="CC23" i="20"/>
  <c r="CE7" i="20"/>
  <c r="CD54" i="20"/>
  <c r="CD55" i="20"/>
  <c r="CD41" i="20" s="1"/>
  <c r="CD2" i="20"/>
  <c r="CD1" i="20"/>
  <c r="CD18" i="20"/>
  <c r="CD28" i="20"/>
  <c r="CD17" i="20"/>
  <c r="CC20" i="20"/>
  <c r="CE53" i="20" l="1"/>
  <c r="J53" i="20" s="1"/>
  <c r="CD21" i="20"/>
  <c r="CD22" i="20" s="1"/>
  <c r="CD19" i="20"/>
  <c r="CC9" i="20"/>
  <c r="CD20" i="20"/>
  <c r="CD23" i="20"/>
  <c r="CE18" i="20"/>
  <c r="CE54" i="20"/>
  <c r="CE55" i="20"/>
  <c r="CE41" i="20" s="1"/>
  <c r="CE2" i="20"/>
  <c r="CE28" i="20"/>
  <c r="CE17" i="20"/>
  <c r="CE1" i="20"/>
  <c r="L55" i="20" l="1"/>
  <c r="L41" i="20" s="1"/>
  <c r="M55" i="20"/>
  <c r="M41" i="20" s="1"/>
  <c r="N55" i="20"/>
  <c r="N41" i="20" s="1"/>
  <c r="O55" i="20"/>
  <c r="O41" i="20" s="1"/>
  <c r="P55" i="20"/>
  <c r="P41" i="20" s="1"/>
  <c r="Q55" i="20"/>
  <c r="Q41" i="20" s="1"/>
  <c r="R55" i="20"/>
  <c r="R41" i="20" s="1"/>
  <c r="Z54" i="20"/>
  <c r="M18" i="20"/>
  <c r="L17" i="20"/>
  <c r="M17" i="20"/>
  <c r="L18" i="20"/>
  <c r="N17" i="20"/>
  <c r="N18" i="20"/>
  <c r="P18" i="20"/>
  <c r="O17" i="20"/>
  <c r="O18" i="20"/>
  <c r="P17" i="20"/>
  <c r="Q18" i="20"/>
  <c r="R18" i="20"/>
  <c r="Q17" i="20"/>
  <c r="R17" i="20"/>
  <c r="S17" i="20"/>
  <c r="S18" i="20"/>
  <c r="AY18" i="20"/>
  <c r="AY17" i="20"/>
  <c r="AZ17" i="20"/>
  <c r="BA18" i="20"/>
  <c r="BB17" i="20"/>
  <c r="BA17" i="20"/>
  <c r="BC17" i="20"/>
  <c r="AZ18" i="20"/>
  <c r="BC18" i="20"/>
  <c r="BB18" i="20"/>
  <c r="BE17" i="20"/>
  <c r="BF18" i="20"/>
  <c r="BE18" i="20"/>
  <c r="BD17" i="20"/>
  <c r="BD18" i="20"/>
  <c r="BG17" i="20"/>
  <c r="BI17" i="20"/>
  <c r="BF17" i="20"/>
  <c r="BH18" i="20"/>
  <c r="BG18" i="20"/>
  <c r="BJ17" i="20"/>
  <c r="BI18" i="20"/>
  <c r="BH17" i="20"/>
  <c r="BJ18" i="20"/>
  <c r="L3" i="20"/>
  <c r="M3" i="20" s="1"/>
  <c r="N3" i="20" s="1"/>
  <c r="O3" i="20" s="1"/>
  <c r="P3" i="20" s="1"/>
  <c r="Q3" i="20" s="1"/>
  <c r="R3" i="20" s="1"/>
  <c r="S3" i="20" s="1"/>
  <c r="T3" i="20" s="1"/>
  <c r="U3" i="20" s="1"/>
  <c r="V3" i="20" s="1"/>
  <c r="W3" i="20" s="1"/>
  <c r="X3" i="20" s="1"/>
  <c r="Y3" i="20" s="1"/>
  <c r="Z3" i="20" s="1"/>
  <c r="AA3" i="20" s="1"/>
  <c r="AB3" i="20" s="1"/>
  <c r="AC3" i="20" s="1"/>
  <c r="AD3" i="20" s="1"/>
  <c r="AE3" i="20" s="1"/>
  <c r="AF3" i="20" s="1"/>
  <c r="AG3" i="20" s="1"/>
  <c r="AH3" i="20" s="1"/>
  <c r="AI3" i="20" s="1"/>
  <c r="AJ3" i="20" s="1"/>
  <c r="AK3" i="20" s="1"/>
  <c r="AL3" i="20" s="1"/>
  <c r="AM3" i="20" s="1"/>
  <c r="AN3" i="20" s="1"/>
  <c r="AO3" i="20" s="1"/>
  <c r="AP3" i="20" s="1"/>
  <c r="AQ3" i="20" s="1"/>
  <c r="AR3" i="20" s="1"/>
  <c r="AS3" i="20" s="1"/>
  <c r="AT3" i="20" s="1"/>
  <c r="AU3" i="20" s="1"/>
  <c r="AV3" i="20" s="1"/>
  <c r="AW3" i="20" s="1"/>
  <c r="AX3" i="20" s="1"/>
  <c r="AY3" i="20" s="1"/>
  <c r="AZ3" i="20" s="1"/>
  <c r="BA3" i="20" s="1"/>
  <c r="BB3" i="20" s="1"/>
  <c r="BC3" i="20" s="1"/>
  <c r="BD3" i="20" s="1"/>
  <c r="BE3" i="20" s="1"/>
  <c r="CE19" i="20"/>
  <c r="CE21" i="20"/>
  <c r="CE22" i="20" s="1"/>
  <c r="CD9" i="20"/>
  <c r="CE20" i="20"/>
  <c r="CE23" i="20"/>
  <c r="U18" i="20"/>
  <c r="T18" i="20"/>
  <c r="T17" i="20"/>
  <c r="U17" i="20"/>
  <c r="V17" i="20"/>
  <c r="V18" i="20"/>
  <c r="X17" i="20"/>
  <c r="X18" i="20"/>
  <c r="W18" i="20"/>
  <c r="W17" i="20"/>
  <c r="AB18" i="20"/>
  <c r="AB21" i="20" s="1"/>
  <c r="AB22" i="20" s="1"/>
  <c r="Y18" i="20"/>
  <c r="Y21" i="20" s="1"/>
  <c r="Y22" i="20" s="1"/>
  <c r="Z18" i="20"/>
  <c r="Y17" i="20"/>
  <c r="Z17" i="20"/>
  <c r="AA18" i="20"/>
  <c r="AA17" i="20"/>
  <c r="AC18" i="20"/>
  <c r="AB17" i="20"/>
  <c r="AC17" i="20"/>
  <c r="AE18" i="20"/>
  <c r="AD17" i="20"/>
  <c r="AD18" i="20"/>
  <c r="AE17" i="20"/>
  <c r="AF18" i="20"/>
  <c r="AF17" i="20"/>
  <c r="AG17" i="20"/>
  <c r="AG18" i="20"/>
  <c r="AG21" i="20" s="1"/>
  <c r="AG22" i="20" s="1"/>
  <c r="AH18" i="20"/>
  <c r="AH17" i="20"/>
  <c r="AI18" i="20"/>
  <c r="AI17" i="20"/>
  <c r="AM17" i="20"/>
  <c r="AJ18" i="20"/>
  <c r="AJ21" i="20" s="1"/>
  <c r="AJ22" i="20" s="1"/>
  <c r="AJ17" i="20"/>
  <c r="AK18" i="20"/>
  <c r="AK17" i="20"/>
  <c r="AL18" i="20"/>
  <c r="AL17" i="20"/>
  <c r="AM18" i="20"/>
  <c r="AQ18" i="20"/>
  <c r="AN18" i="20"/>
  <c r="AN17" i="20"/>
  <c r="AO17" i="20"/>
  <c r="AO18" i="20"/>
  <c r="AO21" i="20" s="1"/>
  <c r="AO22" i="20" s="1"/>
  <c r="AP18" i="20"/>
  <c r="AP17" i="20"/>
  <c r="AQ17" i="20"/>
  <c r="AR17" i="20"/>
  <c r="AS18" i="20"/>
  <c r="AR18" i="20"/>
  <c r="AR21" i="20" s="1"/>
  <c r="AR22" i="20" s="1"/>
  <c r="AV17" i="20"/>
  <c r="AS17" i="20"/>
  <c r="AT17" i="20"/>
  <c r="AU17" i="20"/>
  <c r="AW18" i="20"/>
  <c r="AW21" i="20" s="1"/>
  <c r="AW22" i="20" s="1"/>
  <c r="AT18" i="20"/>
  <c r="AU18" i="20"/>
  <c r="AW17" i="20"/>
  <c r="AX18" i="20"/>
  <c r="AV18" i="20"/>
  <c r="AX17" i="20"/>
  <c r="S55" i="20"/>
  <c r="T55" i="20"/>
  <c r="T41" i="20" s="1"/>
  <c r="U55" i="20"/>
  <c r="U41" i="20" s="1"/>
  <c r="V55" i="20"/>
  <c r="V41" i="20" s="1"/>
  <c r="W55" i="20"/>
  <c r="W41" i="20" s="1"/>
  <c r="X55" i="20"/>
  <c r="X41" i="20" s="1"/>
  <c r="Y55" i="20"/>
  <c r="Y41" i="20" s="1"/>
  <c r="Z55" i="20"/>
  <c r="Z41" i="20" s="1"/>
  <c r="AA55" i="20"/>
  <c r="AA41" i="20" s="1"/>
  <c r="AB55" i="20"/>
  <c r="AB41" i="20" s="1"/>
  <c r="AC55" i="20"/>
  <c r="AC41" i="20" s="1"/>
  <c r="AD55" i="20"/>
  <c r="AD41" i="20" s="1"/>
  <c r="AE55" i="20"/>
  <c r="AE41" i="20" s="1"/>
  <c r="AF55" i="20"/>
  <c r="AF41" i="20" s="1"/>
  <c r="AG55" i="20"/>
  <c r="AG41" i="20" s="1"/>
  <c r="AH55" i="20"/>
  <c r="AH41" i="20" s="1"/>
  <c r="AI55" i="20"/>
  <c r="AI41" i="20" s="1"/>
  <c r="AJ55" i="20"/>
  <c r="AJ41" i="20" s="1"/>
  <c r="AK55" i="20"/>
  <c r="AK41" i="20" s="1"/>
  <c r="AL55" i="20"/>
  <c r="AL41" i="20" s="1"/>
  <c r="AM55" i="20"/>
  <c r="AM41" i="20" s="1"/>
  <c r="AN55" i="20"/>
  <c r="AN41" i="20" s="1"/>
  <c r="AO55" i="20"/>
  <c r="AO41" i="20" s="1"/>
  <c r="AP55" i="20"/>
  <c r="AP41" i="20" s="1"/>
  <c r="AQ55" i="20"/>
  <c r="AQ41" i="20" s="1"/>
  <c r="AR55" i="20"/>
  <c r="AR41" i="20" s="1"/>
  <c r="AS55" i="20"/>
  <c r="AS41" i="20" s="1"/>
  <c r="AT55" i="20"/>
  <c r="AT41" i="20" s="1"/>
  <c r="AU55" i="20"/>
  <c r="AU41" i="20" s="1"/>
  <c r="AV55" i="20"/>
  <c r="AV41" i="20" s="1"/>
  <c r="AW55" i="20"/>
  <c r="AW41" i="20" s="1"/>
  <c r="AX54" i="20"/>
  <c r="O19" i="20" l="1"/>
  <c r="O20" i="20"/>
  <c r="S20" i="20"/>
  <c r="S19" i="20"/>
  <c r="R20" i="20"/>
  <c r="R19" i="20"/>
  <c r="R9" i="20" s="1"/>
  <c r="N21" i="20"/>
  <c r="N22" i="20" s="1"/>
  <c r="N23" i="20"/>
  <c r="P21" i="20"/>
  <c r="P22" i="20" s="1"/>
  <c r="P23" i="20"/>
  <c r="Q19" i="20"/>
  <c r="Q20" i="20"/>
  <c r="N19" i="20"/>
  <c r="N20" i="20"/>
  <c r="S21" i="20"/>
  <c r="S22" i="20" s="1"/>
  <c r="S23" i="20"/>
  <c r="S9" i="20" s="1"/>
  <c r="J54" i="20"/>
  <c r="R21" i="20"/>
  <c r="R22" i="20" s="1"/>
  <c r="R23" i="20"/>
  <c r="L21" i="20"/>
  <c r="L22" i="20" s="1"/>
  <c r="L23" i="20"/>
  <c r="Q21" i="20"/>
  <c r="Q22" i="20" s="1"/>
  <c r="Q23" i="20"/>
  <c r="M19" i="20"/>
  <c r="M20" i="20"/>
  <c r="P19" i="20"/>
  <c r="P20" i="20"/>
  <c r="L19" i="20"/>
  <c r="L20" i="20"/>
  <c r="O21" i="20"/>
  <c r="O22" i="20" s="1"/>
  <c r="O23" i="20"/>
  <c r="M23" i="20"/>
  <c r="M21" i="20"/>
  <c r="M22" i="20" s="1"/>
  <c r="BJ23" i="20"/>
  <c r="BJ21" i="20"/>
  <c r="BJ22" i="20" s="1"/>
  <c r="BG19" i="20"/>
  <c r="BG20" i="20"/>
  <c r="AZ21" i="20"/>
  <c r="AZ22" i="20" s="1"/>
  <c r="AZ23" i="20"/>
  <c r="BH20" i="20"/>
  <c r="BH19" i="20"/>
  <c r="BD21" i="20"/>
  <c r="BD22" i="20" s="1"/>
  <c r="BD23" i="20"/>
  <c r="BC20" i="20"/>
  <c r="BC19" i="20"/>
  <c r="BI23" i="20"/>
  <c r="BI21" i="20"/>
  <c r="BI22" i="20" s="1"/>
  <c r="BD19" i="20"/>
  <c r="BD9" i="20" s="1"/>
  <c r="BD20" i="20"/>
  <c r="BA20" i="20"/>
  <c r="BA19" i="20"/>
  <c r="BJ20" i="20"/>
  <c r="BJ19" i="20"/>
  <c r="BE21" i="20"/>
  <c r="BE22" i="20" s="1"/>
  <c r="BE23" i="20"/>
  <c r="BB19" i="20"/>
  <c r="BB20" i="20"/>
  <c r="BG23" i="20"/>
  <c r="BG21" i="20"/>
  <c r="BG22" i="20" s="1"/>
  <c r="BF21" i="20"/>
  <c r="BF22" i="20" s="1"/>
  <c r="BF23" i="20"/>
  <c r="BA23" i="20"/>
  <c r="BA21" i="20"/>
  <c r="BA22" i="20" s="1"/>
  <c r="BH21" i="20"/>
  <c r="BH22" i="20" s="1"/>
  <c r="BH23" i="20"/>
  <c r="BE19" i="20"/>
  <c r="BE20" i="20"/>
  <c r="AZ19" i="20"/>
  <c r="AZ20" i="20"/>
  <c r="BF19" i="20"/>
  <c r="BF20" i="20"/>
  <c r="BB21" i="20"/>
  <c r="BB22" i="20" s="1"/>
  <c r="BB23" i="20"/>
  <c r="AY19" i="20"/>
  <c r="AY20" i="20"/>
  <c r="BI20" i="20"/>
  <c r="BI19" i="20"/>
  <c r="BC23" i="20"/>
  <c r="BC21" i="20"/>
  <c r="BC22" i="20" s="1"/>
  <c r="AY21" i="20"/>
  <c r="AY22" i="20" s="1"/>
  <c r="AY23" i="20"/>
  <c r="BF3" i="20"/>
  <c r="AV21" i="20"/>
  <c r="AV22" i="20" s="1"/>
  <c r="AS19" i="20"/>
  <c r="AK19" i="20"/>
  <c r="AH21" i="20"/>
  <c r="AH22" i="20" s="1"/>
  <c r="AE21" i="20"/>
  <c r="AE22" i="20" s="1"/>
  <c r="Z21" i="20"/>
  <c r="Z22" i="20" s="1"/>
  <c r="V19" i="20"/>
  <c r="AX21" i="20"/>
  <c r="AX22" i="20" s="1"/>
  <c r="AV19" i="20"/>
  <c r="AO19" i="20"/>
  <c r="AK21" i="20"/>
  <c r="AK22" i="20" s="1"/>
  <c r="AC19" i="20"/>
  <c r="U19" i="20"/>
  <c r="AW19" i="20"/>
  <c r="AN19" i="20"/>
  <c r="AJ19" i="20"/>
  <c r="AG19" i="20"/>
  <c r="AB19" i="20"/>
  <c r="T19" i="20"/>
  <c r="AU21" i="20"/>
  <c r="AU22" i="20" s="1"/>
  <c r="AS21" i="20"/>
  <c r="AS22" i="20" s="1"/>
  <c r="AN21" i="20"/>
  <c r="AN22" i="20" s="1"/>
  <c r="AF19" i="20"/>
  <c r="AC21" i="20"/>
  <c r="AC22" i="20" s="1"/>
  <c r="W19" i="20"/>
  <c r="T21" i="20"/>
  <c r="T22" i="20" s="1"/>
  <c r="AT21" i="20"/>
  <c r="AT22" i="20" s="1"/>
  <c r="AR19" i="20"/>
  <c r="AQ21" i="20"/>
  <c r="AQ22" i="20" s="1"/>
  <c r="AM19" i="20"/>
  <c r="AF21" i="20"/>
  <c r="AF22" i="20" s="1"/>
  <c r="AA19" i="20"/>
  <c r="W21" i="20"/>
  <c r="W22" i="20" s="1"/>
  <c r="U21" i="20"/>
  <c r="U22" i="20" s="1"/>
  <c r="AQ19" i="20"/>
  <c r="AM21" i="20"/>
  <c r="AM22" i="20" s="1"/>
  <c r="AI19" i="20"/>
  <c r="AE19" i="20"/>
  <c r="AA21" i="20"/>
  <c r="AA22" i="20" s="1"/>
  <c r="X21" i="20"/>
  <c r="X22" i="20" s="1"/>
  <c r="AU19" i="20"/>
  <c r="AP19" i="20"/>
  <c r="AL19" i="20"/>
  <c r="AI21" i="20"/>
  <c r="AI22" i="20" s="1"/>
  <c r="AD21" i="20"/>
  <c r="AD22" i="20" s="1"/>
  <c r="Z19" i="20"/>
  <c r="X19" i="20"/>
  <c r="AX19" i="20"/>
  <c r="AT19" i="20"/>
  <c r="AP21" i="20"/>
  <c r="AP22" i="20" s="1"/>
  <c r="AL21" i="20"/>
  <c r="AL22" i="20" s="1"/>
  <c r="AH19" i="20"/>
  <c r="AD19" i="20"/>
  <c r="Y19" i="20"/>
  <c r="V21" i="20"/>
  <c r="V22" i="20" s="1"/>
  <c r="S41" i="20"/>
  <c r="J41" i="20" s="1"/>
  <c r="I15" i="18" s="1"/>
  <c r="AX20" i="20"/>
  <c r="AP23" i="20"/>
  <c r="AH20" i="20"/>
  <c r="V23" i="20"/>
  <c r="AT20" i="20"/>
  <c r="AD20" i="20"/>
  <c r="AV23" i="20"/>
  <c r="AS20" i="20"/>
  <c r="AO23" i="20"/>
  <c r="AK20" i="20"/>
  <c r="AH23" i="20"/>
  <c r="AE23" i="20"/>
  <c r="Z23" i="20"/>
  <c r="V20" i="20"/>
  <c r="AL23" i="20"/>
  <c r="Y20" i="20"/>
  <c r="AX23" i="20"/>
  <c r="AV20" i="20"/>
  <c r="AO20" i="20"/>
  <c r="AK23" i="20"/>
  <c r="AG23" i="20"/>
  <c r="AC20" i="20"/>
  <c r="Y23" i="20"/>
  <c r="U20" i="20"/>
  <c r="AW20" i="20"/>
  <c r="AR23" i="20"/>
  <c r="AN20" i="20"/>
  <c r="AJ20" i="20"/>
  <c r="AG20" i="20"/>
  <c r="AB20" i="20"/>
  <c r="AB23" i="20"/>
  <c r="T20" i="20"/>
  <c r="CE9" i="20"/>
  <c r="AU23" i="20"/>
  <c r="AS23" i="20"/>
  <c r="AN23" i="20"/>
  <c r="AJ23" i="20"/>
  <c r="AF20" i="20"/>
  <c r="AC23" i="20"/>
  <c r="W20" i="20"/>
  <c r="T23" i="20"/>
  <c r="AT23" i="20"/>
  <c r="AR20" i="20"/>
  <c r="AQ23" i="20"/>
  <c r="AM20" i="20"/>
  <c r="AF23" i="20"/>
  <c r="AA20" i="20"/>
  <c r="W23" i="20"/>
  <c r="U23" i="20"/>
  <c r="AW23" i="20"/>
  <c r="AQ20" i="20"/>
  <c r="AM23" i="20"/>
  <c r="AI20" i="20"/>
  <c r="AE20" i="20"/>
  <c r="AA23" i="20"/>
  <c r="X23" i="20"/>
  <c r="J55" i="20"/>
  <c r="AU20" i="20"/>
  <c r="AP20" i="20"/>
  <c r="AL20" i="20"/>
  <c r="AI23" i="20"/>
  <c r="AD23" i="20"/>
  <c r="Z20" i="20"/>
  <c r="X20" i="20"/>
  <c r="BI9" i="20" l="1"/>
  <c r="BC9" i="20"/>
  <c r="L9" i="20"/>
  <c r="N9" i="20"/>
  <c r="BA9" i="20"/>
  <c r="Q9" i="20"/>
  <c r="P9" i="20"/>
  <c r="AY9" i="20"/>
  <c r="BB9" i="20"/>
  <c r="M9" i="20"/>
  <c r="BH9" i="20"/>
  <c r="BJ9" i="20"/>
  <c r="AZ9" i="20"/>
  <c r="BE9" i="20"/>
  <c r="BG9" i="20"/>
  <c r="O9" i="20"/>
  <c r="BF9" i="20"/>
  <c r="BG3" i="20"/>
  <c r="AF9" i="20"/>
  <c r="AN9" i="20"/>
  <c r="W9" i="20"/>
  <c r="AP9" i="20"/>
  <c r="AU9" i="20"/>
  <c r="AK9" i="20"/>
  <c r="AB9" i="20"/>
  <c r="V9" i="20"/>
  <c r="AO9" i="20"/>
  <c r="AG9" i="20"/>
  <c r="AC9" i="20"/>
  <c r="AV9" i="20"/>
  <c r="AQ9" i="20"/>
  <c r="AR9" i="20"/>
  <c r="Z9" i="20"/>
  <c r="AE9" i="20"/>
  <c r="U9" i="20"/>
  <c r="Y9" i="20"/>
  <c r="X9" i="20"/>
  <c r="AI9" i="20"/>
  <c r="AX9" i="20"/>
  <c r="AM9" i="20"/>
  <c r="AA9" i="20"/>
  <c r="AS9" i="20"/>
  <c r="AT9" i="20"/>
  <c r="AD9" i="20"/>
  <c r="T9" i="20"/>
  <c r="AW9" i="20"/>
  <c r="AH9" i="20"/>
  <c r="AL9" i="20"/>
  <c r="AJ9" i="20"/>
  <c r="BH3" i="20" l="1"/>
  <c r="BI3" i="20" l="1"/>
  <c r="BJ3" i="20" l="1"/>
  <c r="BK3" i="20" l="1"/>
  <c r="BL3" i="20" l="1"/>
  <c r="BM3" i="20" l="1"/>
  <c r="BN3" i="20" l="1"/>
  <c r="BO3" i="20" l="1"/>
  <c r="BP3" i="20" l="1"/>
  <c r="BQ3" i="20" l="1"/>
  <c r="BR3" i="20" l="1"/>
  <c r="BS3" i="20" l="1"/>
  <c r="BT3" i="20" l="1"/>
  <c r="BU3" i="20" l="1"/>
  <c r="BV3" i="20" l="1"/>
  <c r="BW3" i="20" l="1"/>
  <c r="BX3" i="20" l="1"/>
  <c r="BY3" i="20" l="1"/>
  <c r="BZ3" i="20" l="1"/>
  <c r="CA3" i="20" l="1"/>
  <c r="CB3" i="20" l="1"/>
  <c r="CC3" i="20" l="1"/>
  <c r="CD3" i="20" l="1"/>
  <c r="CE3" i="20" l="1"/>
  <c r="BV27" i="20"/>
  <c r="CB29" i="20"/>
  <c r="BX29" i="20"/>
  <c r="CB27" i="20"/>
  <c r="BZ26" i="20"/>
  <c r="CB26" i="20"/>
  <c r="BX26" i="20"/>
  <c r="BV29" i="20"/>
  <c r="BV26" i="20"/>
  <c r="BZ27" i="20"/>
  <c r="BW27" i="20" l="1"/>
  <c r="S26" i="20"/>
  <c r="L29" i="20"/>
  <c r="N29" i="20"/>
  <c r="Q29" i="20"/>
  <c r="S29" i="20"/>
  <c r="L27" i="20"/>
  <c r="M27" i="20"/>
  <c r="M29" i="20"/>
  <c r="P27" i="20"/>
  <c r="R27" i="20"/>
  <c r="S27" i="20"/>
  <c r="M26" i="20"/>
  <c r="Q27" i="20"/>
  <c r="P26" i="20"/>
  <c r="L26" i="20"/>
  <c r="Q26" i="20"/>
  <c r="R29" i="20"/>
  <c r="N27" i="20"/>
  <c r="O27" i="20"/>
  <c r="N26" i="20"/>
  <c r="O26" i="20"/>
  <c r="O29" i="20"/>
  <c r="R26" i="20"/>
  <c r="P29" i="20"/>
  <c r="BX27" i="20"/>
  <c r="BX25" i="20" s="1"/>
  <c r="CD26" i="20"/>
  <c r="BZ29" i="20"/>
  <c r="BZ25" i="20" s="1"/>
  <c r="CD27" i="20"/>
  <c r="CA27" i="20"/>
  <c r="CC27" i="20"/>
  <c r="BW29" i="20"/>
  <c r="CC26" i="20"/>
  <c r="CA26" i="20"/>
  <c r="BY29" i="20"/>
  <c r="CD29" i="20"/>
  <c r="BV25" i="20"/>
  <c r="CB25" i="20"/>
  <c r="CE29" i="20"/>
  <c r="CE27" i="20"/>
  <c r="CE26" i="20"/>
  <c r="AV29" i="20"/>
  <c r="AZ29" i="20"/>
  <c r="AS27" i="20"/>
  <c r="AH27" i="20"/>
  <c r="AU29" i="20"/>
  <c r="AW27" i="20"/>
  <c r="W29" i="20"/>
  <c r="AD27" i="20"/>
  <c r="AY27" i="20"/>
  <c r="AR29" i="20"/>
  <c r="AP29" i="20"/>
  <c r="AX29" i="20"/>
  <c r="W27" i="20"/>
  <c r="BB29" i="20"/>
  <c r="AX27" i="20"/>
  <c r="AD29" i="20"/>
  <c r="AI27" i="20"/>
  <c r="U29" i="20"/>
  <c r="AS29" i="20"/>
  <c r="AB29" i="20"/>
  <c r="AN27" i="20"/>
  <c r="AG29" i="20"/>
  <c r="T29" i="20"/>
  <c r="BC27" i="20"/>
  <c r="AT29" i="20"/>
  <c r="AJ29" i="20"/>
  <c r="AE27" i="20"/>
  <c r="AM29" i="20"/>
  <c r="AB27" i="20"/>
  <c r="V27" i="20"/>
  <c r="AR27" i="20"/>
  <c r="Z27" i="20"/>
  <c r="AI29" i="20"/>
  <c r="AO29" i="20"/>
  <c r="AQ29" i="20"/>
  <c r="BB27" i="20"/>
  <c r="AA29" i="20"/>
  <c r="AF29" i="20"/>
  <c r="AZ27" i="20"/>
  <c r="BA29" i="20"/>
  <c r="BA27" i="20"/>
  <c r="AM27" i="20"/>
  <c r="Y27" i="20"/>
  <c r="AK27" i="20"/>
  <c r="BD27" i="20"/>
  <c r="AO27" i="20"/>
  <c r="AV27" i="20"/>
  <c r="AC27" i="20"/>
  <c r="AP27" i="20"/>
  <c r="AE29" i="20"/>
  <c r="AW29" i="20"/>
  <c r="Y29" i="20"/>
  <c r="AF27" i="20"/>
  <c r="AL29" i="20"/>
  <c r="BC29" i="20"/>
  <c r="AK29" i="20"/>
  <c r="Z29" i="20"/>
  <c r="AH29" i="20"/>
  <c r="AL27" i="20"/>
  <c r="U27" i="20"/>
  <c r="AC29" i="20"/>
  <c r="AN29" i="20"/>
  <c r="T27" i="20"/>
  <c r="AT27" i="20"/>
  <c r="AA27" i="20"/>
  <c r="V29" i="20"/>
  <c r="AJ27" i="20"/>
  <c r="AG27" i="20"/>
  <c r="BD29" i="20"/>
  <c r="AU27" i="20"/>
  <c r="AQ27" i="20"/>
  <c r="AY29" i="20"/>
  <c r="X29" i="20"/>
  <c r="X27" i="20"/>
  <c r="AR26" i="20"/>
  <c r="BE29" i="20"/>
  <c r="BE27" i="20"/>
  <c r="AS26" i="20"/>
  <c r="BF27" i="20"/>
  <c r="BF29" i="20"/>
  <c r="AG26" i="20"/>
  <c r="BG27" i="20"/>
  <c r="BG26" i="20"/>
  <c r="AO26" i="20"/>
  <c r="AF26" i="20"/>
  <c r="AJ26" i="20"/>
  <c r="AL26" i="20"/>
  <c r="AZ26" i="20"/>
  <c r="U26" i="20"/>
  <c r="U25" i="20" s="1"/>
  <c r="BC26" i="20"/>
  <c r="AM26" i="20"/>
  <c r="AB26" i="20"/>
  <c r="AW26" i="20"/>
  <c r="Y26" i="20"/>
  <c r="BD26" i="20"/>
  <c r="AP26" i="20"/>
  <c r="AD26" i="20"/>
  <c r="T26" i="20"/>
  <c r="Z26" i="20"/>
  <c r="AA26" i="20"/>
  <c r="BB26" i="20"/>
  <c r="AH26" i="20"/>
  <c r="AY26" i="20"/>
  <c r="AE26" i="20"/>
  <c r="BA26" i="20"/>
  <c r="BG29" i="20"/>
  <c r="X26" i="20"/>
  <c r="AU26" i="20"/>
  <c r="AN26" i="20"/>
  <c r="V26" i="20"/>
  <c r="W26" i="20"/>
  <c r="W25" i="20" s="1"/>
  <c r="BF26" i="20"/>
  <c r="BE26" i="20"/>
  <c r="AI26" i="20"/>
  <c r="AI25" i="20" s="1"/>
  <c r="AQ26" i="20"/>
  <c r="AT26" i="20"/>
  <c r="AX26" i="20"/>
  <c r="AC26" i="20"/>
  <c r="AV26" i="20"/>
  <c r="AK26" i="20"/>
  <c r="AK25" i="20" s="1"/>
  <c r="BH27" i="20"/>
  <c r="BH29" i="20"/>
  <c r="BH26" i="20"/>
  <c r="BI26" i="20"/>
  <c r="BI29" i="20"/>
  <c r="BI27" i="20"/>
  <c r="BJ27" i="20"/>
  <c r="BJ26" i="20"/>
  <c r="BJ29" i="20"/>
  <c r="BK29" i="20"/>
  <c r="BK27" i="20"/>
  <c r="BK26" i="20"/>
  <c r="BL29" i="20"/>
  <c r="BL27" i="20"/>
  <c r="BL26" i="20"/>
  <c r="BM29" i="20"/>
  <c r="BM27" i="20"/>
  <c r="BM26" i="20"/>
  <c r="BN29" i="20"/>
  <c r="BN26" i="20"/>
  <c r="BN27" i="20"/>
  <c r="BO29" i="20"/>
  <c r="BO26" i="20"/>
  <c r="BO27" i="20"/>
  <c r="BP26" i="20"/>
  <c r="BP29" i="20"/>
  <c r="BP27" i="20"/>
  <c r="BQ26" i="20"/>
  <c r="BQ29" i="20"/>
  <c r="BQ27" i="20"/>
  <c r="BR29" i="20"/>
  <c r="BR27" i="20"/>
  <c r="BR26" i="20"/>
  <c r="BS27" i="20"/>
  <c r="BS26" i="20"/>
  <c r="BS29" i="20"/>
  <c r="BT27" i="20"/>
  <c r="BT26" i="20"/>
  <c r="BT29" i="20"/>
  <c r="BY27" i="20"/>
  <c r="BU29" i="20"/>
  <c r="BU27" i="20"/>
  <c r="BY26" i="20"/>
  <c r="BU26" i="20"/>
  <c r="BW26" i="20"/>
  <c r="CA29" i="20"/>
  <c r="CA25" i="20" s="1"/>
  <c r="CC29" i="20"/>
  <c r="CC25" i="20" s="1"/>
  <c r="P25" i="20" l="1"/>
  <c r="L25" i="20"/>
  <c r="O25" i="20"/>
  <c r="N25" i="20"/>
  <c r="M25" i="20"/>
  <c r="R25" i="20"/>
  <c r="S25" i="20"/>
  <c r="Q25" i="20"/>
  <c r="CD25" i="20"/>
  <c r="CD36" i="20" s="1"/>
  <c r="BX39" i="20"/>
  <c r="BX36" i="20"/>
  <c r="BX38" i="20"/>
  <c r="BX58" i="20"/>
  <c r="AR25" i="20"/>
  <c r="AR38" i="20" s="1"/>
  <c r="CC38" i="20"/>
  <c r="CC36" i="20"/>
  <c r="CC58" i="20"/>
  <c r="CC39" i="20"/>
  <c r="CA36" i="20"/>
  <c r="CA58" i="20"/>
  <c r="CA39" i="20"/>
  <c r="CA38" i="20"/>
  <c r="BT25" i="20"/>
  <c r="AC25" i="20"/>
  <c r="V25" i="20"/>
  <c r="AH25" i="20"/>
  <c r="Y25" i="20"/>
  <c r="AJ25" i="20"/>
  <c r="AS25" i="20"/>
  <c r="BW25" i="20"/>
  <c r="AX25" i="20"/>
  <c r="AN25" i="20"/>
  <c r="BB25" i="20"/>
  <c r="AW25" i="20"/>
  <c r="AF25" i="20"/>
  <c r="BU25" i="20"/>
  <c r="BN25" i="20"/>
  <c r="AT25" i="20"/>
  <c r="AU25" i="20"/>
  <c r="AA25" i="20"/>
  <c r="AB25" i="20"/>
  <c r="AO25" i="20"/>
  <c r="BZ38" i="20"/>
  <c r="BZ36" i="20"/>
  <c r="BZ39" i="20"/>
  <c r="BZ58" i="20"/>
  <c r="BK25" i="20"/>
  <c r="BY25" i="20"/>
  <c r="BS25" i="20"/>
  <c r="BH25" i="20"/>
  <c r="AQ25" i="20"/>
  <c r="X25" i="20"/>
  <c r="Z25" i="20"/>
  <c r="AM25" i="20"/>
  <c r="BG25" i="20"/>
  <c r="AR36" i="20"/>
  <c r="BQ25" i="20"/>
  <c r="BI25" i="20"/>
  <c r="BM25" i="20"/>
  <c r="AI36" i="20"/>
  <c r="AI39" i="20"/>
  <c r="AI58" i="20"/>
  <c r="AI38" i="20"/>
  <c r="T25" i="20"/>
  <c r="BC25" i="20"/>
  <c r="CD38" i="20"/>
  <c r="CD58" i="20"/>
  <c r="CD39" i="20"/>
  <c r="BR25" i="20"/>
  <c r="BP25" i="20"/>
  <c r="BE25" i="20"/>
  <c r="BA25" i="20"/>
  <c r="AD25" i="20"/>
  <c r="U58" i="20"/>
  <c r="U38" i="20"/>
  <c r="U39" i="20"/>
  <c r="U36" i="20"/>
  <c r="AG25" i="20"/>
  <c r="BJ25" i="20"/>
  <c r="AK36" i="20"/>
  <c r="AK38" i="20"/>
  <c r="AK58" i="20"/>
  <c r="AK39" i="20"/>
  <c r="BF25" i="20"/>
  <c r="AE25" i="20"/>
  <c r="AP25" i="20"/>
  <c r="AZ25" i="20"/>
  <c r="CE25" i="20"/>
  <c r="CB58" i="20"/>
  <c r="CB39" i="20"/>
  <c r="CB36" i="20"/>
  <c r="CB44" i="20" s="1"/>
  <c r="CB38" i="20"/>
  <c r="BO25" i="20"/>
  <c r="BL25" i="20"/>
  <c r="AV25" i="20"/>
  <c r="W36" i="20"/>
  <c r="W38" i="20"/>
  <c r="W39" i="20"/>
  <c r="W58" i="20"/>
  <c r="AY25" i="20"/>
  <c r="BD25" i="20"/>
  <c r="AL25" i="20"/>
  <c r="BV38" i="20"/>
  <c r="BV36" i="20"/>
  <c r="BV39" i="20"/>
  <c r="BV58" i="20"/>
  <c r="AI44" i="20" l="1"/>
  <c r="CA44" i="20"/>
  <c r="BX44" i="20"/>
  <c r="Q36" i="20"/>
  <c r="Q44" i="20" s="1"/>
  <c r="Q38" i="20"/>
  <c r="Q39" i="20"/>
  <c r="Q58" i="20"/>
  <c r="N38" i="20"/>
  <c r="N39" i="20"/>
  <c r="N58" i="20"/>
  <c r="N36" i="20"/>
  <c r="N44" i="20" s="1"/>
  <c r="S39" i="20"/>
  <c r="S38" i="20"/>
  <c r="S36" i="20"/>
  <c r="S58" i="20"/>
  <c r="O58" i="20"/>
  <c r="O36" i="20"/>
  <c r="O39" i="20"/>
  <c r="O38" i="20"/>
  <c r="R58" i="20"/>
  <c r="R38" i="20"/>
  <c r="R36" i="20"/>
  <c r="R44" i="20" s="1"/>
  <c r="R39" i="20"/>
  <c r="L39" i="20"/>
  <c r="L58" i="20"/>
  <c r="L38" i="20"/>
  <c r="L36" i="20"/>
  <c r="M36" i="20"/>
  <c r="M44" i="20" s="1"/>
  <c r="M39" i="20"/>
  <c r="M58" i="20"/>
  <c r="M38" i="20"/>
  <c r="P58" i="20"/>
  <c r="P38" i="20"/>
  <c r="P39" i="20"/>
  <c r="P36" i="20"/>
  <c r="P44" i="20" s="1"/>
  <c r="U44" i="20"/>
  <c r="BV44" i="20"/>
  <c r="AR39" i="20"/>
  <c r="AR44" i="20" s="1"/>
  <c r="CC44" i="20"/>
  <c r="AR58" i="20"/>
  <c r="CD44" i="20"/>
  <c r="BZ44" i="20"/>
  <c r="AK44" i="20"/>
  <c r="AM39" i="20"/>
  <c r="AM38" i="20"/>
  <c r="AM36" i="20"/>
  <c r="AM58" i="20"/>
  <c r="AU38" i="20"/>
  <c r="AU36" i="20"/>
  <c r="AU39" i="20"/>
  <c r="AU58" i="20"/>
  <c r="BE38" i="20"/>
  <c r="BE36" i="20"/>
  <c r="BE58" i="20"/>
  <c r="BE39" i="20"/>
  <c r="AZ36" i="20"/>
  <c r="AZ58" i="20"/>
  <c r="AZ39" i="20"/>
  <c r="AZ38" i="20"/>
  <c r="BS38" i="20"/>
  <c r="BS58" i="20"/>
  <c r="BS39" i="20"/>
  <c r="BS36" i="20"/>
  <c r="Z38" i="20"/>
  <c r="Z39" i="20"/>
  <c r="Z58" i="20"/>
  <c r="Z36" i="20"/>
  <c r="BY38" i="20"/>
  <c r="BY58" i="20"/>
  <c r="BY39" i="20"/>
  <c r="BY36" i="20"/>
  <c r="AO58" i="20"/>
  <c r="AO36" i="20"/>
  <c r="AO39" i="20"/>
  <c r="AO38" i="20"/>
  <c r="AT39" i="20"/>
  <c r="AT38" i="20"/>
  <c r="AT36" i="20"/>
  <c r="AT58" i="20"/>
  <c r="AW39" i="20"/>
  <c r="AW58" i="20"/>
  <c r="AW38" i="20"/>
  <c r="AW36" i="20"/>
  <c r="BW38" i="20"/>
  <c r="BW36" i="20"/>
  <c r="BW58" i="20"/>
  <c r="BW39" i="20"/>
  <c r="AH39" i="20"/>
  <c r="AH58" i="20"/>
  <c r="AH38" i="20"/>
  <c r="AH36" i="20"/>
  <c r="BQ58" i="20"/>
  <c r="BQ36" i="20"/>
  <c r="BQ39" i="20"/>
  <c r="BQ38" i="20"/>
  <c r="AF58" i="20"/>
  <c r="AF39" i="20"/>
  <c r="AF36" i="20"/>
  <c r="AF38" i="20"/>
  <c r="W44" i="20"/>
  <c r="AX39" i="20"/>
  <c r="AX58" i="20"/>
  <c r="AX38" i="20"/>
  <c r="AX36" i="20"/>
  <c r="AP58" i="20"/>
  <c r="AP39" i="20"/>
  <c r="AP38" i="20"/>
  <c r="AP36" i="20"/>
  <c r="BP58" i="20"/>
  <c r="BP36" i="20"/>
  <c r="BP38" i="20"/>
  <c r="BP39" i="20"/>
  <c r="BC58" i="20"/>
  <c r="BC39" i="20"/>
  <c r="BC38" i="20"/>
  <c r="BC36" i="20"/>
  <c r="BM58" i="20"/>
  <c r="BM36" i="20"/>
  <c r="BM39" i="20"/>
  <c r="BM38" i="20"/>
  <c r="X39" i="20"/>
  <c r="X58" i="20"/>
  <c r="X36" i="20"/>
  <c r="X38" i="20"/>
  <c r="BK36" i="20"/>
  <c r="BK38" i="20"/>
  <c r="BK58" i="20"/>
  <c r="BK39" i="20"/>
  <c r="AB39" i="20"/>
  <c r="AB38" i="20"/>
  <c r="AB58" i="20"/>
  <c r="AB36" i="20"/>
  <c r="BN38" i="20"/>
  <c r="BN36" i="20"/>
  <c r="BN58" i="20"/>
  <c r="BN39" i="20"/>
  <c r="BB38" i="20"/>
  <c r="BB58" i="20"/>
  <c r="BB39" i="20"/>
  <c r="BB36" i="20"/>
  <c r="AS36" i="20"/>
  <c r="AS39" i="20"/>
  <c r="AS58" i="20"/>
  <c r="AS38" i="20"/>
  <c r="V39" i="20"/>
  <c r="V58" i="20"/>
  <c r="V38" i="20"/>
  <c r="V36" i="20"/>
  <c r="Y39" i="20"/>
  <c r="Y36" i="20"/>
  <c r="Y58" i="20"/>
  <c r="Y38" i="20"/>
  <c r="BO39" i="20"/>
  <c r="BO36" i="20"/>
  <c r="BO38" i="20"/>
  <c r="BO58" i="20"/>
  <c r="AV36" i="20"/>
  <c r="AV38" i="20"/>
  <c r="AV58" i="20"/>
  <c r="AV39" i="20"/>
  <c r="BD36" i="20"/>
  <c r="BD39" i="20"/>
  <c r="BD58" i="20"/>
  <c r="BD38" i="20"/>
  <c r="AE36" i="20"/>
  <c r="AE38" i="20"/>
  <c r="AE39" i="20"/>
  <c r="AE58" i="20"/>
  <c r="BJ38" i="20"/>
  <c r="BJ58" i="20"/>
  <c r="BJ39" i="20"/>
  <c r="BJ36" i="20"/>
  <c r="AD39" i="20"/>
  <c r="AD58" i="20"/>
  <c r="AD38" i="20"/>
  <c r="AD36" i="20"/>
  <c r="BR38" i="20"/>
  <c r="BR58" i="20"/>
  <c r="BR39" i="20"/>
  <c r="BR36" i="20"/>
  <c r="T38" i="20"/>
  <c r="T36" i="20"/>
  <c r="T39" i="20"/>
  <c r="T58" i="20"/>
  <c r="BI38" i="20"/>
  <c r="BI36" i="20"/>
  <c r="BI39" i="20"/>
  <c r="BI58" i="20"/>
  <c r="BG39" i="20"/>
  <c r="BG38" i="20"/>
  <c r="BG58" i="20"/>
  <c r="BG36" i="20"/>
  <c r="AQ58" i="20"/>
  <c r="AQ36" i="20"/>
  <c r="AQ38" i="20"/>
  <c r="AQ39" i="20"/>
  <c r="AA58" i="20"/>
  <c r="AA39" i="20"/>
  <c r="AA38" i="20"/>
  <c r="AA36" i="20"/>
  <c r="BU58" i="20"/>
  <c r="BU39" i="20"/>
  <c r="BU36" i="20"/>
  <c r="BU38" i="20"/>
  <c r="AN58" i="20"/>
  <c r="AN38" i="20"/>
  <c r="AN39" i="20"/>
  <c r="AN36" i="20"/>
  <c r="AJ36" i="20"/>
  <c r="AJ58" i="20"/>
  <c r="AJ39" i="20"/>
  <c r="AJ38" i="20"/>
  <c r="AC58" i="20"/>
  <c r="AC36" i="20"/>
  <c r="AC39" i="20"/>
  <c r="AC38" i="20"/>
  <c r="AL38" i="20"/>
  <c r="AL39" i="20"/>
  <c r="AL36" i="20"/>
  <c r="AL58" i="20"/>
  <c r="AY58" i="20"/>
  <c r="AY36" i="20"/>
  <c r="AY39" i="20"/>
  <c r="AY38" i="20"/>
  <c r="BL39" i="20"/>
  <c r="BL58" i="20"/>
  <c r="BL38" i="20"/>
  <c r="BL36" i="20"/>
  <c r="CE36" i="20"/>
  <c r="CE39" i="20"/>
  <c r="CE38" i="20"/>
  <c r="CE58" i="20"/>
  <c r="BF58" i="20"/>
  <c r="BF39" i="20"/>
  <c r="BF36" i="20"/>
  <c r="BF38" i="20"/>
  <c r="AG39" i="20"/>
  <c r="AG58" i="20"/>
  <c r="AG38" i="20"/>
  <c r="AG36" i="20"/>
  <c r="BA58" i="20"/>
  <c r="BA39" i="20"/>
  <c r="BA38" i="20"/>
  <c r="BA36" i="20"/>
  <c r="BH39" i="20"/>
  <c r="BH36" i="20"/>
  <c r="BH44" i="20" s="1"/>
  <c r="BH38" i="20"/>
  <c r="BH58" i="20"/>
  <c r="BT36" i="20"/>
  <c r="BT39" i="20"/>
  <c r="BT58" i="20"/>
  <c r="BT38" i="20"/>
  <c r="L44" i="20" l="1"/>
  <c r="BN44" i="20"/>
  <c r="S44" i="20"/>
  <c r="O44" i="20"/>
  <c r="BM44" i="20"/>
  <c r="AY44" i="20"/>
  <c r="AC44" i="20"/>
  <c r="BF44" i="20"/>
  <c r="AL44" i="20"/>
  <c r="J58" i="20"/>
  <c r="AE44" i="20"/>
  <c r="BA44" i="20"/>
  <c r="BU44" i="20"/>
  <c r="AN44" i="20"/>
  <c r="AT44" i="20"/>
  <c r="BE44" i="20"/>
  <c r="AO44" i="20"/>
  <c r="Y44" i="20"/>
  <c r="AM44" i="20"/>
  <c r="AX44" i="20"/>
  <c r="BL44" i="20"/>
  <c r="V44" i="20"/>
  <c r="X44" i="20"/>
  <c r="BT44" i="20"/>
  <c r="BO44" i="20"/>
  <c r="BY44" i="20"/>
  <c r="AV44" i="20"/>
  <c r="AH44" i="20"/>
  <c r="BD44" i="20"/>
  <c r="AU44" i="20"/>
  <c r="AZ44" i="20"/>
  <c r="BS44" i="20"/>
  <c r="BK44" i="20"/>
  <c r="BQ44" i="20"/>
  <c r="AW44" i="20"/>
  <c r="Z44" i="20"/>
  <c r="AQ44" i="20"/>
  <c r="BI44" i="20"/>
  <c r="AF44" i="20"/>
  <c r="AJ44" i="20"/>
  <c r="BG44" i="20"/>
  <c r="AD44" i="20"/>
  <c r="AG44" i="20"/>
  <c r="AA44" i="20"/>
  <c r="J39" i="20"/>
  <c r="J36" i="20"/>
  <c r="T44" i="20"/>
  <c r="BP44" i="20"/>
  <c r="CE44" i="20"/>
  <c r="J38" i="20"/>
  <c r="AS44" i="20"/>
  <c r="BW44" i="20"/>
  <c r="BR44" i="20"/>
  <c r="BJ44" i="20"/>
  <c r="BB44" i="20"/>
  <c r="AB44" i="20"/>
  <c r="BC44" i="20"/>
  <c r="AP44" i="20"/>
  <c r="J28" i="20" l="1"/>
  <c r="I8" i="18" l="1"/>
  <c r="J25" i="20"/>
  <c r="J33" i="20" s="1"/>
  <c r="I10" i="18" s="1"/>
  <c r="R31" i="20"/>
  <c r="R37" i="20" s="1"/>
  <c r="R35" i="20" s="1"/>
  <c r="Q31" i="20"/>
  <c r="Q37" i="20" s="1"/>
  <c r="Q35" i="20" s="1"/>
  <c r="BW31" i="20"/>
  <c r="BW37" i="20" s="1"/>
  <c r="BW35" i="20" s="1"/>
  <c r="BZ31" i="20"/>
  <c r="BZ37" i="20" s="1"/>
  <c r="BZ35" i="20" s="1"/>
  <c r="CB31" i="20"/>
  <c r="CB37" i="20" s="1"/>
  <c r="CB35" i="20" s="1"/>
  <c r="O31" i="20"/>
  <c r="O37" i="20" s="1"/>
  <c r="O35" i="20" s="1"/>
  <c r="BY31" i="20"/>
  <c r="BY37" i="20" s="1"/>
  <c r="BY35" i="20" s="1"/>
  <c r="P31" i="20"/>
  <c r="P37" i="20" s="1"/>
  <c r="P35" i="20" s="1"/>
  <c r="CD31" i="20"/>
  <c r="CD37" i="20" s="1"/>
  <c r="CD35" i="20" s="1"/>
  <c r="L31" i="20"/>
  <c r="L37" i="20" s="1"/>
  <c r="L35" i="20" s="1"/>
  <c r="CC31" i="20"/>
  <c r="CC37" i="20" s="1"/>
  <c r="CC35" i="20" s="1"/>
  <c r="M31" i="20"/>
  <c r="M37" i="20" s="1"/>
  <c r="M35" i="20" s="1"/>
  <c r="BX31" i="20"/>
  <c r="BX37" i="20" s="1"/>
  <c r="BX35" i="20" s="1"/>
  <c r="N31" i="20"/>
  <c r="N37" i="20" s="1"/>
  <c r="N35" i="20" s="1"/>
  <c r="CE31" i="20"/>
  <c r="CE37" i="20" s="1"/>
  <c r="CE35" i="20" s="1"/>
  <c r="S31" i="20"/>
  <c r="S37" i="20" s="1"/>
  <c r="S35" i="20" s="1"/>
  <c r="BM31" i="20"/>
  <c r="BM37" i="20" s="1"/>
  <c r="BM35" i="20" s="1"/>
  <c r="BU31" i="20"/>
  <c r="BU37" i="20" s="1"/>
  <c r="BU35" i="20" s="1"/>
  <c r="BS31" i="20"/>
  <c r="BS37" i="20" s="1"/>
  <c r="BS35" i="20" s="1"/>
  <c r="BO31" i="20"/>
  <c r="BO37" i="20" s="1"/>
  <c r="BO35" i="20" s="1"/>
  <c r="BQ31" i="20"/>
  <c r="BQ37" i="20" s="1"/>
  <c r="BQ35" i="20" s="1"/>
  <c r="BG31" i="20"/>
  <c r="BG37" i="20" s="1"/>
  <c r="BG35" i="20" s="1"/>
  <c r="AJ31" i="20"/>
  <c r="AJ37" i="20" s="1"/>
  <c r="AJ35" i="20" s="1"/>
  <c r="BN31" i="20"/>
  <c r="BN37" i="20" s="1"/>
  <c r="BN35" i="20" s="1"/>
  <c r="AR31" i="20"/>
  <c r="AR37" i="20" s="1"/>
  <c r="AR35" i="20" s="1"/>
  <c r="BV31" i="20"/>
  <c r="BV37" i="20" s="1"/>
  <c r="BV35" i="20" s="1"/>
  <c r="BD31" i="20"/>
  <c r="BD37" i="20" s="1"/>
  <c r="BD35" i="20" s="1"/>
  <c r="AH31" i="20"/>
  <c r="AH37" i="20" s="1"/>
  <c r="AH35" i="20" s="1"/>
  <c r="AZ31" i="20"/>
  <c r="AZ37" i="20" s="1"/>
  <c r="AZ35" i="20" s="1"/>
  <c r="AW31" i="20"/>
  <c r="AW37" i="20" s="1"/>
  <c r="AW35" i="20" s="1"/>
  <c r="BR31" i="20"/>
  <c r="BR37" i="20" s="1"/>
  <c r="BR35" i="20" s="1"/>
  <c r="AK31" i="20"/>
  <c r="AK37" i="20" s="1"/>
  <c r="AK35" i="20" s="1"/>
  <c r="BP31" i="20"/>
  <c r="BP37" i="20" s="1"/>
  <c r="BP35" i="20" s="1"/>
  <c r="AS31" i="20"/>
  <c r="AS37" i="20" s="1"/>
  <c r="AS35" i="20" s="1"/>
  <c r="AM31" i="20"/>
  <c r="AM37" i="20" s="1"/>
  <c r="AM35" i="20" s="1"/>
  <c r="BA31" i="20"/>
  <c r="BA37" i="20" s="1"/>
  <c r="BA35" i="20" s="1"/>
  <c r="AX31" i="20"/>
  <c r="AX37" i="20" s="1"/>
  <c r="AX35" i="20" s="1"/>
  <c r="W31" i="20"/>
  <c r="W37" i="20" s="1"/>
  <c r="W35" i="20" s="1"/>
  <c r="BB31" i="20"/>
  <c r="BB37" i="20" s="1"/>
  <c r="BB35" i="20" s="1"/>
  <c r="AF31" i="20"/>
  <c r="AF37" i="20" s="1"/>
  <c r="AF35" i="20" s="1"/>
  <c r="AB31" i="20"/>
  <c r="AB37" i="20" s="1"/>
  <c r="AB35" i="20" s="1"/>
  <c r="V31" i="20"/>
  <c r="V37" i="20" s="1"/>
  <c r="V35" i="20" s="1"/>
  <c r="AY31" i="20"/>
  <c r="AY37" i="20" s="1"/>
  <c r="AY35" i="20" s="1"/>
  <c r="AO31" i="20"/>
  <c r="AO37" i="20" s="1"/>
  <c r="AO35" i="20" s="1"/>
  <c r="AI31" i="20"/>
  <c r="AI37" i="20" s="1"/>
  <c r="AI35" i="20" s="1"/>
  <c r="Z31" i="20"/>
  <c r="Z37" i="20" s="1"/>
  <c r="Z35" i="20" s="1"/>
  <c r="X31" i="20"/>
  <c r="X37" i="20" s="1"/>
  <c r="X35" i="20" s="1"/>
  <c r="BF31" i="20"/>
  <c r="BF37" i="20" s="1"/>
  <c r="BF35" i="20" s="1"/>
  <c r="AC31" i="20"/>
  <c r="AC37" i="20" s="1"/>
  <c r="AC35" i="20" s="1"/>
  <c r="Y31" i="20"/>
  <c r="Y37" i="20" s="1"/>
  <c r="Y35" i="20" s="1"/>
  <c r="AD31" i="20"/>
  <c r="AD37" i="20" s="1"/>
  <c r="AD35" i="20" s="1"/>
  <c r="AV31" i="20"/>
  <c r="AV37" i="20" s="1"/>
  <c r="AV35" i="20" s="1"/>
  <c r="AG31" i="20"/>
  <c r="AG37" i="20" s="1"/>
  <c r="AG35" i="20" s="1"/>
  <c r="AL31" i="20"/>
  <c r="AL37" i="20" s="1"/>
  <c r="AL35" i="20" s="1"/>
  <c r="BI31" i="20"/>
  <c r="BI37" i="20" s="1"/>
  <c r="BI35" i="20" s="1"/>
  <c r="AE31" i="20"/>
  <c r="AE37" i="20" s="1"/>
  <c r="AE35" i="20" s="1"/>
  <c r="T31" i="20"/>
  <c r="T37" i="20" s="1"/>
  <c r="T35" i="20" s="1"/>
  <c r="AP31" i="20"/>
  <c r="AP37" i="20" s="1"/>
  <c r="AP35" i="20" s="1"/>
  <c r="U31" i="20"/>
  <c r="U37" i="20" s="1"/>
  <c r="U35" i="20" s="1"/>
  <c r="AA31" i="20"/>
  <c r="AA37" i="20" s="1"/>
  <c r="AA35" i="20" s="1"/>
  <c r="BE31" i="20"/>
  <c r="BE37" i="20" s="1"/>
  <c r="BE35" i="20" s="1"/>
  <c r="AT31" i="20"/>
  <c r="AT37" i="20" s="1"/>
  <c r="AT35" i="20" s="1"/>
  <c r="BH31" i="20"/>
  <c r="BH37" i="20" s="1"/>
  <c r="BH35" i="20" s="1"/>
  <c r="AN31" i="20"/>
  <c r="AN37" i="20" s="1"/>
  <c r="AN35" i="20" s="1"/>
  <c r="BL31" i="20"/>
  <c r="BL37" i="20" s="1"/>
  <c r="BL35" i="20" s="1"/>
  <c r="BC31" i="20"/>
  <c r="BC37" i="20" s="1"/>
  <c r="BC35" i="20" s="1"/>
  <c r="AQ31" i="20"/>
  <c r="AQ37" i="20" s="1"/>
  <c r="AQ35" i="20" s="1"/>
  <c r="AU31" i="20"/>
  <c r="AU37" i="20" s="1"/>
  <c r="AU35" i="20" s="1"/>
  <c r="BT31" i="20"/>
  <c r="BT37" i="20" s="1"/>
  <c r="BT35" i="20" s="1"/>
  <c r="BJ31" i="20"/>
  <c r="BJ37" i="20" s="1"/>
  <c r="BJ35" i="20" s="1"/>
  <c r="BK31" i="20"/>
  <c r="BK37" i="20" s="1"/>
  <c r="BK35" i="20" s="1"/>
  <c r="CA31" i="20" l="1"/>
  <c r="CA37" i="20" s="1"/>
  <c r="CA35" i="20" s="1"/>
  <c r="AF33" i="20"/>
  <c r="BY33" i="20"/>
  <c r="BJ33" i="20"/>
  <c r="AT33" i="20"/>
  <c r="AL33" i="20"/>
  <c r="Z33" i="20"/>
  <c r="W33" i="20"/>
  <c r="AW33" i="20"/>
  <c r="BG33" i="20"/>
  <c r="N33" i="20"/>
  <c r="O33" i="20"/>
  <c r="BF33" i="20"/>
  <c r="BH33" i="20"/>
  <c r="CE33" i="20"/>
  <c r="BT33" i="20"/>
  <c r="BE33" i="20"/>
  <c r="AG33" i="20"/>
  <c r="AI33" i="20"/>
  <c r="AX33" i="20"/>
  <c r="AZ33" i="20"/>
  <c r="BQ33" i="20"/>
  <c r="BX33" i="20"/>
  <c r="CB33" i="20"/>
  <c r="AK33" i="20"/>
  <c r="X33" i="20"/>
  <c r="AU33" i="20"/>
  <c r="AA33" i="20"/>
  <c r="AV33" i="20"/>
  <c r="AO33" i="20"/>
  <c r="BA33" i="20"/>
  <c r="AH33" i="20"/>
  <c r="BO33" i="20"/>
  <c r="M33" i="20"/>
  <c r="BZ33" i="20"/>
  <c r="AN33" i="20"/>
  <c r="S33" i="20"/>
  <c r="BR33" i="20"/>
  <c r="AQ33" i="20"/>
  <c r="U33" i="20"/>
  <c r="AD33" i="20"/>
  <c r="AY33" i="20"/>
  <c r="AM33" i="20"/>
  <c r="BD33" i="20"/>
  <c r="BS33" i="20"/>
  <c r="CC33" i="20"/>
  <c r="BW33" i="20"/>
  <c r="BN33" i="20"/>
  <c r="BK33" i="20"/>
  <c r="BB33" i="20"/>
  <c r="BC33" i="20"/>
  <c r="AP33" i="20"/>
  <c r="Y33" i="20"/>
  <c r="V33" i="20"/>
  <c r="AS33" i="20"/>
  <c r="BV33" i="20"/>
  <c r="BU33" i="20"/>
  <c r="L33" i="20"/>
  <c r="Q33" i="20"/>
  <c r="AE33" i="20"/>
  <c r="P33" i="20"/>
  <c r="BI33" i="20"/>
  <c r="AJ33" i="20"/>
  <c r="BL33" i="20"/>
  <c r="T33" i="20"/>
  <c r="AC33" i="20"/>
  <c r="AB33" i="20"/>
  <c r="BP33" i="20"/>
  <c r="AR33" i="20"/>
  <c r="BM33" i="20"/>
  <c r="CD33" i="20"/>
  <c r="R33" i="20"/>
  <c r="I11" i="18"/>
  <c r="CA33" i="20" l="1"/>
  <c r="J37" i="20"/>
  <c r="J35" i="20" l="1"/>
  <c r="I13" i="18" s="1"/>
  <c r="L59" i="20" l="1"/>
  <c r="L60" i="20" s="1"/>
  <c r="J44" i="20"/>
  <c r="J45" i="20" l="1"/>
  <c r="I18" i="18"/>
  <c r="T45" i="20" l="1"/>
  <c r="AM45" i="20"/>
  <c r="BK45" i="20"/>
  <c r="AA45" i="20"/>
  <c r="BW45" i="20"/>
  <c r="M45" i="20"/>
  <c r="BQ45" i="20"/>
  <c r="AY45" i="20"/>
  <c r="AD45" i="20"/>
  <c r="AV45" i="20"/>
  <c r="BM45" i="20"/>
  <c r="CE45" i="20"/>
  <c r="AU45" i="20"/>
  <c r="AC45" i="20"/>
  <c r="AF45" i="20"/>
  <c r="BS45" i="20"/>
  <c r="X45" i="20"/>
  <c r="BO45" i="20"/>
  <c r="BC45" i="20"/>
  <c r="BV45" i="20"/>
  <c r="Q45" i="20"/>
  <c r="AE45" i="20"/>
  <c r="Y45" i="20"/>
  <c r="AR45" i="20"/>
  <c r="BI45" i="20"/>
  <c r="BY45" i="20"/>
  <c r="BH45" i="20"/>
  <c r="AW45" i="20"/>
  <c r="AX45" i="20"/>
  <c r="AK45" i="20"/>
  <c r="BT45" i="20"/>
  <c r="BZ45" i="20"/>
  <c r="R45" i="20"/>
  <c r="AN45" i="20"/>
  <c r="BF45" i="20"/>
  <c r="AZ45" i="20"/>
  <c r="CC45" i="20"/>
  <c r="AH45" i="20"/>
  <c r="N45" i="20"/>
  <c r="AT45" i="20"/>
  <c r="BE45" i="20"/>
  <c r="Z45" i="20"/>
  <c r="BG45" i="20"/>
  <c r="BN45" i="20"/>
  <c r="W45" i="20"/>
  <c r="BP45" i="20"/>
  <c r="U45" i="20"/>
  <c r="BA45" i="20"/>
  <c r="BB45" i="20"/>
  <c r="O45" i="20"/>
  <c r="AS45" i="20"/>
  <c r="BJ45" i="20"/>
  <c r="AO45" i="20"/>
  <c r="AG45" i="20"/>
  <c r="BD45" i="20"/>
  <c r="CD45" i="20"/>
  <c r="CA45" i="20"/>
  <c r="P45" i="20"/>
  <c r="BR45" i="20"/>
  <c r="AQ45" i="20"/>
  <c r="V45" i="20"/>
  <c r="AL45" i="20"/>
  <c r="BU45" i="20"/>
  <c r="S45" i="20"/>
  <c r="BX45" i="20"/>
  <c r="BL45" i="20"/>
  <c r="AP45" i="20"/>
  <c r="AJ45" i="20"/>
  <c r="AB45" i="20"/>
  <c r="CB45" i="20"/>
  <c r="AI45" i="20"/>
  <c r="L45" i="20"/>
  <c r="L62" i="20"/>
  <c r="L69" i="20" l="1"/>
  <c r="L86" i="20" s="1"/>
  <c r="L88" i="20" l="1"/>
  <c r="L73" i="20"/>
  <c r="L77" i="20"/>
  <c r="L83" i="20" l="1"/>
  <c r="L42" i="20"/>
  <c r="L75" i="20"/>
  <c r="L81" i="20"/>
  <c r="L82" i="20" s="1"/>
  <c r="M67" i="20" l="1"/>
  <c r="L47" i="20"/>
  <c r="L49" i="20" l="1"/>
  <c r="M59" i="20" l="1"/>
  <c r="L51" i="20"/>
  <c r="M60" i="20" l="1"/>
  <c r="M62" i="20" l="1"/>
  <c r="M69" i="20"/>
  <c r="M77" i="20" l="1"/>
  <c r="M42" i="20" l="1"/>
  <c r="M79" i="20"/>
  <c r="M71" i="20" l="1"/>
  <c r="M86" i="20" s="1"/>
  <c r="M83" i="20"/>
  <c r="M47" i="20"/>
  <c r="M88" i="20" l="1"/>
  <c r="M49" i="20"/>
  <c r="M73" i="20"/>
  <c r="M75" i="20" l="1"/>
  <c r="M81" i="20"/>
  <c r="M82" i="20" s="1"/>
  <c r="N59" i="20"/>
  <c r="M51" i="20"/>
  <c r="N60" i="20" l="1"/>
  <c r="N69" i="20" s="1"/>
  <c r="N77" i="20" s="1"/>
  <c r="N67" i="20"/>
  <c r="N42" i="20" l="1"/>
  <c r="N79" i="20"/>
  <c r="N62" i="20"/>
  <c r="N71" i="20" l="1"/>
  <c r="N86" i="20" s="1"/>
  <c r="N83" i="20"/>
  <c r="N47" i="20"/>
  <c r="N88" i="20" l="1"/>
  <c r="N49" i="20"/>
  <c r="N73" i="20"/>
  <c r="N81" i="20" l="1"/>
  <c r="N82" i="20" s="1"/>
  <c r="N75" i="20"/>
  <c r="O59" i="20"/>
  <c r="N51" i="20"/>
  <c r="O67" i="20" l="1"/>
  <c r="O60" i="20"/>
  <c r="O69" i="20" s="1"/>
  <c r="O62" i="20" l="1"/>
  <c r="O77" i="20"/>
  <c r="O42" i="20" l="1"/>
  <c r="O79" i="20"/>
  <c r="O71" i="20" l="1"/>
  <c r="O86" i="20" s="1"/>
  <c r="O83" i="20"/>
  <c r="O47" i="20"/>
  <c r="O88" i="20" l="1"/>
  <c r="O49" i="20"/>
  <c r="O73" i="20"/>
  <c r="O81" i="20" l="1"/>
  <c r="O82" i="20" s="1"/>
  <c r="O75" i="20"/>
  <c r="P59" i="20"/>
  <c r="O51" i="20"/>
  <c r="P67" i="20" l="1"/>
  <c r="P60" i="20"/>
  <c r="P69" i="20"/>
  <c r="P62" i="20" l="1"/>
  <c r="P77" i="20"/>
  <c r="P42" i="20" l="1"/>
  <c r="P79" i="20"/>
  <c r="P83" i="20" s="1"/>
  <c r="P47" i="20" l="1"/>
  <c r="P71" i="20"/>
  <c r="P86" i="20" s="1"/>
  <c r="P88" i="20" l="1"/>
  <c r="P73" i="20"/>
  <c r="P49" i="20"/>
  <c r="Q59" i="20" l="1"/>
  <c r="P51" i="20"/>
  <c r="P81" i="20"/>
  <c r="P82" i="20" s="1"/>
  <c r="P75" i="20"/>
  <c r="Q67" i="20" l="1"/>
  <c r="Q60" i="20"/>
  <c r="Q62" i="20" l="1"/>
  <c r="Q69" i="20"/>
  <c r="Q77" i="20" l="1"/>
  <c r="Q42" i="20" l="1"/>
  <c r="Q47" i="20" s="1"/>
  <c r="Q79" i="20"/>
  <c r="Q71" i="20" s="1"/>
  <c r="Q86" i="20" s="1"/>
  <c r="Q88" i="20" s="1"/>
  <c r="Q73" i="20" l="1"/>
  <c r="Q83" i="20"/>
  <c r="Q49" i="20"/>
  <c r="R59" i="20" s="1"/>
  <c r="R60" i="20" s="1"/>
  <c r="R62" i="20" l="1"/>
  <c r="Q51" i="20"/>
  <c r="Q81" i="20"/>
  <c r="Q82" i="20" s="1"/>
  <c r="Q75" i="20"/>
  <c r="R67" i="20" l="1"/>
  <c r="R69" i="20"/>
  <c r="R77" i="20" l="1"/>
  <c r="R42" i="20" l="1"/>
  <c r="R47" i="20" s="1"/>
  <c r="R79" i="20"/>
  <c r="R71" i="20" s="1"/>
  <c r="R73" i="20" l="1"/>
  <c r="R81" i="20" s="1"/>
  <c r="R82" i="20" s="1"/>
  <c r="R86" i="20"/>
  <c r="R88" i="20" s="1"/>
  <c r="R83" i="20"/>
  <c r="R49" i="20"/>
  <c r="S59" i="20" s="1"/>
  <c r="S60" i="20" s="1"/>
  <c r="R75" i="20" l="1"/>
  <c r="S62" i="20"/>
  <c r="S67" i="20"/>
  <c r="R51" i="20"/>
  <c r="S69" i="20"/>
  <c r="S77" i="20" l="1"/>
  <c r="S42" i="20" l="1"/>
  <c r="S47" i="20" s="1"/>
  <c r="S79" i="20"/>
  <c r="S71" i="20" s="1"/>
  <c r="S73" i="20" l="1"/>
  <c r="S81" i="20" s="1"/>
  <c r="S82" i="20" s="1"/>
  <c r="S86" i="20"/>
  <c r="S88" i="20" s="1"/>
  <c r="S83" i="20"/>
  <c r="S49" i="20"/>
  <c r="T59" i="20" s="1"/>
  <c r="T60" i="20" s="1"/>
  <c r="S75" i="20" l="1"/>
  <c r="T67" i="20" s="1"/>
  <c r="T62" i="20"/>
  <c r="S51" i="20"/>
  <c r="T69" i="20"/>
  <c r="T77" i="20" l="1"/>
  <c r="T42" i="20" l="1"/>
  <c r="T47" i="20" s="1"/>
  <c r="T79" i="20"/>
  <c r="T71" i="20" s="1"/>
  <c r="T73" i="20" l="1"/>
  <c r="T81" i="20" s="1"/>
  <c r="T82" i="20" s="1"/>
  <c r="T86" i="20"/>
  <c r="T88" i="20" s="1"/>
  <c r="T83" i="20"/>
  <c r="T49" i="20"/>
  <c r="U59" i="20" s="1"/>
  <c r="U60" i="20" s="1"/>
  <c r="T75" i="20" l="1"/>
  <c r="U62" i="20"/>
  <c r="T51" i="20"/>
  <c r="U67" i="20"/>
  <c r="U69" i="20"/>
  <c r="U77" i="20" l="1"/>
  <c r="U42" i="20" l="1"/>
  <c r="U47" i="20" s="1"/>
  <c r="U79" i="20"/>
  <c r="U71" i="20" s="1"/>
  <c r="U73" i="20" l="1"/>
  <c r="U75" i="20" s="1"/>
  <c r="U86" i="20"/>
  <c r="U88" i="20" s="1"/>
  <c r="U81" i="20"/>
  <c r="U82" i="20" s="1"/>
  <c r="U83" i="20"/>
  <c r="U49" i="20"/>
  <c r="V59" i="20" s="1"/>
  <c r="V60" i="20" s="1"/>
  <c r="U51" i="20" l="1"/>
  <c r="V62" i="20"/>
  <c r="V67" i="20"/>
  <c r="V69" i="20"/>
  <c r="V77" i="20" l="1"/>
  <c r="V42" i="20" l="1"/>
  <c r="V47" i="20" s="1"/>
  <c r="V79" i="20"/>
  <c r="V71" i="20" s="1"/>
  <c r="V73" i="20" l="1"/>
  <c r="V81" i="20" s="1"/>
  <c r="V82" i="20" s="1"/>
  <c r="V86" i="20"/>
  <c r="V88" i="20" s="1"/>
  <c r="V83" i="20"/>
  <c r="V49" i="20"/>
  <c r="W59" i="20" s="1"/>
  <c r="W60" i="20" s="1"/>
  <c r="V75" i="20" l="1"/>
  <c r="W67" i="20" s="1"/>
  <c r="V51" i="20"/>
  <c r="W62" i="20"/>
  <c r="W69" i="20"/>
  <c r="W77" i="20" l="1"/>
  <c r="W42" i="20" l="1"/>
  <c r="W47" i="20" s="1"/>
  <c r="W79" i="20"/>
  <c r="W71" i="20" s="1"/>
  <c r="W73" i="20" l="1"/>
  <c r="W86" i="20"/>
  <c r="W88" i="20" s="1"/>
  <c r="W81" i="20"/>
  <c r="W82" i="20" s="1"/>
  <c r="W75" i="20"/>
  <c r="W83" i="20"/>
  <c r="W49" i="20"/>
  <c r="X59" i="20" s="1"/>
  <c r="X60" i="20" s="1"/>
  <c r="X62" i="20" l="1"/>
  <c r="W51" i="20"/>
  <c r="X67" i="20"/>
  <c r="X69" i="20"/>
  <c r="X77" i="20" l="1"/>
  <c r="X42" i="20" l="1"/>
  <c r="X47" i="20" s="1"/>
  <c r="X79" i="20"/>
  <c r="X71" i="20" s="1"/>
  <c r="X73" i="20" l="1"/>
  <c r="X86" i="20"/>
  <c r="X88" i="20" s="1"/>
  <c r="X83" i="20"/>
  <c r="X81" i="20"/>
  <c r="X82" i="20" s="1"/>
  <c r="X75" i="20"/>
  <c r="X49" i="20"/>
  <c r="Y59" i="20" s="1"/>
  <c r="Y60" i="20" s="1"/>
  <c r="Y62" i="20" l="1"/>
  <c r="Y69" i="20"/>
  <c r="Y77" i="20" s="1"/>
  <c r="X51" i="20"/>
  <c r="Y67" i="20"/>
  <c r="Y42" i="20" l="1"/>
  <c r="Y47" i="20" s="1"/>
  <c r="Y79" i="20"/>
  <c r="Y71" i="20" s="1"/>
  <c r="Y73" i="20" s="1"/>
  <c r="Y86" i="20" l="1"/>
  <c r="Y88" i="20" s="1"/>
  <c r="Y81" i="20"/>
  <c r="Y82" i="20" s="1"/>
  <c r="Y75" i="20"/>
  <c r="Y83" i="20"/>
  <c r="Y49" i="20"/>
  <c r="Z59" i="20" s="1"/>
  <c r="Z60" i="20" s="1"/>
  <c r="Z62" i="20" l="1"/>
  <c r="Z67" i="20"/>
  <c r="Y51" i="20"/>
  <c r="Z69" i="20"/>
  <c r="Z77" i="20" l="1"/>
  <c r="Z42" i="20" l="1"/>
  <c r="Z47" i="20" s="1"/>
  <c r="Z79" i="20"/>
  <c r="Z71" i="20" s="1"/>
  <c r="Z73" i="20" l="1"/>
  <c r="Z75" i="20" s="1"/>
  <c r="Z86" i="20"/>
  <c r="Z88" i="20" s="1"/>
  <c r="Z83" i="20"/>
  <c r="Z49" i="20"/>
  <c r="AA59" i="20" s="1"/>
  <c r="AA60" i="20" s="1"/>
  <c r="Z81" i="20" l="1"/>
  <c r="Z82" i="20" s="1"/>
  <c r="AA62" i="20"/>
  <c r="Z51" i="20"/>
  <c r="AA67" i="20"/>
  <c r="AA69" i="20" l="1"/>
  <c r="AA77" i="20" s="1"/>
  <c r="AA42" i="20" l="1"/>
  <c r="AA47" i="20" s="1"/>
  <c r="AA79" i="20"/>
  <c r="AA71" i="20" s="1"/>
  <c r="AA73" i="20" l="1"/>
  <c r="AA75" i="20" s="1"/>
  <c r="AA86" i="20"/>
  <c r="AA88" i="20" s="1"/>
  <c r="AA83" i="20"/>
  <c r="AA49" i="20"/>
  <c r="AB59" i="20" s="1"/>
  <c r="AB60" i="20" s="1"/>
  <c r="AA81" i="20" l="1"/>
  <c r="AA82" i="20" s="1"/>
  <c r="AB62" i="20"/>
  <c r="AA51" i="20"/>
  <c r="AB67" i="20"/>
  <c r="AB69" i="20" l="1"/>
  <c r="AB77" i="20" s="1"/>
  <c r="AB42" i="20" s="1"/>
  <c r="AB47" i="20" s="1"/>
  <c r="AB79" i="20" l="1"/>
  <c r="AB71" i="20" s="1"/>
  <c r="AB73" i="20" s="1"/>
  <c r="AB75" i="20" s="1"/>
  <c r="AB49" i="20"/>
  <c r="AC59" i="20" s="1"/>
  <c r="AC60" i="20" s="1"/>
  <c r="AB83" i="20" l="1"/>
  <c r="AB81" i="20"/>
  <c r="AB82" i="20" s="1"/>
  <c r="AB86" i="20"/>
  <c r="AB88" i="20" s="1"/>
  <c r="AC62" i="20"/>
  <c r="AB51" i="20"/>
  <c r="AC67" i="20"/>
  <c r="AC69" i="20" l="1"/>
  <c r="AC77" i="20"/>
  <c r="AC42" i="20" l="1"/>
  <c r="AC47" i="20" s="1"/>
  <c r="AC79" i="20"/>
  <c r="AC71" i="20" s="1"/>
  <c r="AC73" i="20" l="1"/>
  <c r="AC81" i="20" s="1"/>
  <c r="AC82" i="20" s="1"/>
  <c r="AC86" i="20"/>
  <c r="AC88" i="20" s="1"/>
  <c r="AC83" i="20"/>
  <c r="AC49" i="20"/>
  <c r="AD59" i="20" s="1"/>
  <c r="AD60" i="20" s="1"/>
  <c r="AC75" i="20" l="1"/>
  <c r="AD67" i="20" s="1"/>
  <c r="AD62" i="20"/>
  <c r="AC51" i="20"/>
  <c r="AD69" i="20" l="1"/>
  <c r="AD77" i="20" s="1"/>
  <c r="AD42" i="20" l="1"/>
  <c r="AD47" i="20" s="1"/>
  <c r="AD79" i="20"/>
  <c r="AD71" i="20" s="1"/>
  <c r="AD73" i="20" l="1"/>
  <c r="AD81" i="20" s="1"/>
  <c r="AD82" i="20" s="1"/>
  <c r="AD86" i="20"/>
  <c r="AD88" i="20" s="1"/>
  <c r="AD83" i="20"/>
  <c r="AD49" i="20"/>
  <c r="AE59" i="20" s="1"/>
  <c r="AE60" i="20" s="1"/>
  <c r="AD75" i="20" l="1"/>
  <c r="AE69" i="20" s="1"/>
  <c r="AE77" i="20" s="1"/>
  <c r="AD51" i="20"/>
  <c r="AE62" i="20"/>
  <c r="AE67" i="20" l="1"/>
  <c r="AE42" i="20"/>
  <c r="AE47" i="20" s="1"/>
  <c r="AE79" i="20"/>
  <c r="AE71" i="20" s="1"/>
  <c r="AE73" i="20" s="1"/>
  <c r="AE86" i="20" l="1"/>
  <c r="AE88" i="20" s="1"/>
  <c r="AE81" i="20"/>
  <c r="AE82" i="20" s="1"/>
  <c r="AE75" i="20"/>
  <c r="AE83" i="20"/>
  <c r="AE49" i="20"/>
  <c r="AF59" i="20" s="1"/>
  <c r="AF60" i="20" s="1"/>
  <c r="AF62" i="20" l="1"/>
  <c r="AF67" i="20"/>
  <c r="AE51" i="20"/>
  <c r="AF69" i="20"/>
  <c r="AF77" i="20" l="1"/>
  <c r="AF42" i="20" l="1"/>
  <c r="AF47" i="20" s="1"/>
  <c r="AF79" i="20"/>
  <c r="AF71" i="20" s="1"/>
  <c r="AF73" i="20" l="1"/>
  <c r="AF75" i="20" s="1"/>
  <c r="AF86" i="20"/>
  <c r="AF88" i="20" s="1"/>
  <c r="AF83" i="20"/>
  <c r="AF49" i="20"/>
  <c r="AG59" i="20" s="1"/>
  <c r="AG60" i="20" s="1"/>
  <c r="AF81" i="20" l="1"/>
  <c r="AF82" i="20" s="1"/>
  <c r="AF51" i="20"/>
  <c r="AG62" i="20"/>
  <c r="AG67" i="20"/>
  <c r="AG69" i="20" l="1"/>
  <c r="AG77" i="20" s="1"/>
  <c r="AG79" i="20" s="1"/>
  <c r="AG71" i="20" s="1"/>
  <c r="AG83" i="20" l="1"/>
  <c r="AG73" i="20"/>
  <c r="AG81" i="20" s="1"/>
  <c r="AG82" i="20" s="1"/>
  <c r="AG42" i="20"/>
  <c r="AG47" i="20" s="1"/>
  <c r="AG86" i="20"/>
  <c r="AG88" i="20" s="1"/>
  <c r="AG49" i="20"/>
  <c r="AH59" i="20" s="1"/>
  <c r="AH60" i="20" s="1"/>
  <c r="AG75" i="20" l="1"/>
  <c r="AH67" i="20" s="1"/>
  <c r="AH62" i="20"/>
  <c r="AG51" i="20"/>
  <c r="AH69" i="20"/>
  <c r="AH77" i="20" l="1"/>
  <c r="AH42" i="20" l="1"/>
  <c r="AH47" i="20" s="1"/>
  <c r="AH79" i="20"/>
  <c r="AH71" i="20" s="1"/>
  <c r="AH73" i="20" l="1"/>
  <c r="AH75" i="20" s="1"/>
  <c r="AH86" i="20"/>
  <c r="AH88" i="20" s="1"/>
  <c r="AH83" i="20"/>
  <c r="AH49" i="20"/>
  <c r="AI59" i="20" s="1"/>
  <c r="AI60" i="20" s="1"/>
  <c r="AH81" i="20" l="1"/>
  <c r="AH82" i="20" s="1"/>
  <c r="AI62" i="20"/>
  <c r="AH51" i="20"/>
  <c r="AI67" i="20"/>
  <c r="AI69" i="20" l="1"/>
  <c r="AI77" i="20" s="1"/>
  <c r="AI42" i="20" l="1"/>
  <c r="AI47" i="20" s="1"/>
  <c r="AI79" i="20"/>
  <c r="AI71" i="20" s="1"/>
  <c r="AI73" i="20" l="1"/>
  <c r="AI75" i="20" s="1"/>
  <c r="AI86" i="20"/>
  <c r="AI88" i="20" s="1"/>
  <c r="AI83" i="20"/>
  <c r="AI49" i="20"/>
  <c r="AJ59" i="20" s="1"/>
  <c r="AJ60" i="20" s="1"/>
  <c r="AI81" i="20" l="1"/>
  <c r="AI82" i="20" s="1"/>
  <c r="AI51" i="20"/>
  <c r="AJ62" i="20"/>
  <c r="AJ67" i="20"/>
  <c r="AJ69" i="20" l="1"/>
  <c r="AJ77" i="20" s="1"/>
  <c r="AJ42" i="20" l="1"/>
  <c r="AJ47" i="20" s="1"/>
  <c r="AJ79" i="20"/>
  <c r="AJ71" i="20" s="1"/>
  <c r="AJ73" i="20" l="1"/>
  <c r="AJ81" i="20" s="1"/>
  <c r="AJ82" i="20" s="1"/>
  <c r="AJ86" i="20"/>
  <c r="AJ88" i="20" s="1"/>
  <c r="AJ83" i="20"/>
  <c r="AJ49" i="20"/>
  <c r="AK59" i="20" s="1"/>
  <c r="AK60" i="20" s="1"/>
  <c r="AJ75" i="20" l="1"/>
  <c r="AK67" i="20" s="1"/>
  <c r="AK62" i="20"/>
  <c r="AJ51" i="20"/>
  <c r="AK69" i="20"/>
  <c r="AK77" i="20" s="1"/>
  <c r="AK42" i="20" l="1"/>
  <c r="AK47" i="20" s="1"/>
  <c r="AK79" i="20"/>
  <c r="AK71" i="20" s="1"/>
  <c r="AK73" i="20" s="1"/>
  <c r="AK86" i="20" l="1"/>
  <c r="AK88" i="20" s="1"/>
  <c r="AK81" i="20"/>
  <c r="AK82" i="20" s="1"/>
  <c r="AK75" i="20"/>
  <c r="AK83" i="20"/>
  <c r="AK49" i="20"/>
  <c r="AL59" i="20" s="1"/>
  <c r="AL60" i="20" s="1"/>
  <c r="AL62" i="20" l="1"/>
  <c r="AK51" i="20"/>
  <c r="AL67" i="20"/>
  <c r="AL69" i="20"/>
  <c r="AL77" i="20" l="1"/>
  <c r="AL42" i="20" l="1"/>
  <c r="AL47" i="20" s="1"/>
  <c r="AL79" i="20"/>
  <c r="AL71" i="20" s="1"/>
  <c r="AL73" i="20" l="1"/>
  <c r="AL75" i="20" s="1"/>
  <c r="AL86" i="20"/>
  <c r="AL88" i="20" s="1"/>
  <c r="AL83" i="20"/>
  <c r="AL49" i="20"/>
  <c r="AM59" i="20" s="1"/>
  <c r="AM60" i="20" s="1"/>
  <c r="AL81" i="20" l="1"/>
  <c r="AL82" i="20" s="1"/>
  <c r="AM62" i="20"/>
  <c r="AL51" i="20"/>
  <c r="AM67" i="20"/>
  <c r="AM69" i="20" l="1"/>
  <c r="AM77" i="20" s="1"/>
  <c r="AM42" i="20" l="1"/>
  <c r="AM47" i="20" s="1"/>
  <c r="AM79" i="20"/>
  <c r="AM71" i="20" s="1"/>
  <c r="AM73" i="20" l="1"/>
  <c r="AM75" i="20" s="1"/>
  <c r="AM86" i="20"/>
  <c r="AM88" i="20" s="1"/>
  <c r="AM83" i="20"/>
  <c r="AM49" i="20"/>
  <c r="AN59" i="20" s="1"/>
  <c r="AN60" i="20" s="1"/>
  <c r="AM81" i="20" l="1"/>
  <c r="AM82" i="20" s="1"/>
  <c r="AM51" i="20"/>
  <c r="AN62" i="20"/>
  <c r="AN67" i="20"/>
  <c r="AN69" i="20" l="1"/>
  <c r="AN77" i="20" s="1"/>
  <c r="AN42" i="20" l="1"/>
  <c r="AN47" i="20" s="1"/>
  <c r="AN79" i="20"/>
  <c r="AN71" i="20" s="1"/>
  <c r="AN73" i="20" l="1"/>
  <c r="AN81" i="20" s="1"/>
  <c r="AN82" i="20" s="1"/>
  <c r="AN86" i="20"/>
  <c r="AN88" i="20" s="1"/>
  <c r="AN83" i="20"/>
  <c r="AN49" i="20"/>
  <c r="AO59" i="20" s="1"/>
  <c r="AO60" i="20" s="1"/>
  <c r="AN75" i="20" l="1"/>
  <c r="AO67" i="20" s="1"/>
  <c r="AO62" i="20"/>
  <c r="AN51" i="20"/>
  <c r="AO69" i="20"/>
  <c r="AO77" i="20" l="1"/>
  <c r="AO42" i="20" l="1"/>
  <c r="AO47" i="20" s="1"/>
  <c r="AO79" i="20"/>
  <c r="AO71" i="20" s="1"/>
  <c r="AO73" i="20" l="1"/>
  <c r="AO75" i="20" s="1"/>
  <c r="AO86" i="20"/>
  <c r="AO88" i="20" s="1"/>
  <c r="AO83" i="20"/>
  <c r="AO49" i="20"/>
  <c r="AP59" i="20" s="1"/>
  <c r="AP60" i="20" s="1"/>
  <c r="AO81" i="20" l="1"/>
  <c r="AO82" i="20" s="1"/>
  <c r="AP62" i="20"/>
  <c r="AO51" i="20"/>
  <c r="AP67" i="20"/>
  <c r="AP69" i="20" l="1"/>
  <c r="AP77" i="20" s="1"/>
  <c r="AP42" i="20" s="1"/>
  <c r="AP47" i="20" s="1"/>
  <c r="AP79" i="20" l="1"/>
  <c r="AP71" i="20" s="1"/>
  <c r="AP73" i="20" s="1"/>
  <c r="AP81" i="20" s="1"/>
  <c r="AP82" i="20" s="1"/>
  <c r="AP49" i="20"/>
  <c r="AQ59" i="20" s="1"/>
  <c r="AQ60" i="20" s="1"/>
  <c r="AP75" i="20" l="1"/>
  <c r="AQ67" i="20" s="1"/>
  <c r="AP83" i="20"/>
  <c r="AP86" i="20"/>
  <c r="AP88" i="20" s="1"/>
  <c r="AQ62" i="20"/>
  <c r="AP51" i="20"/>
  <c r="AQ69" i="20"/>
  <c r="AQ77" i="20" l="1"/>
  <c r="AQ42" i="20" l="1"/>
  <c r="AQ47" i="20" s="1"/>
  <c r="AQ79" i="20"/>
  <c r="AQ71" i="20" s="1"/>
  <c r="AQ73" i="20" l="1"/>
  <c r="AQ81" i="20" s="1"/>
  <c r="AQ82" i="20" s="1"/>
  <c r="AQ86" i="20"/>
  <c r="AQ88" i="20" s="1"/>
  <c r="AQ83" i="20"/>
  <c r="AQ49" i="20"/>
  <c r="AR59" i="20" s="1"/>
  <c r="AR60" i="20" s="1"/>
  <c r="AQ75" i="20" l="1"/>
  <c r="AR67" i="20" s="1"/>
  <c r="AR62" i="20"/>
  <c r="AQ51" i="20"/>
  <c r="AR69" i="20" l="1"/>
  <c r="AR77" i="20" s="1"/>
  <c r="AR42" i="20" l="1"/>
  <c r="AR47" i="20" s="1"/>
  <c r="AR79" i="20"/>
  <c r="AR71" i="20" s="1"/>
  <c r="AR73" i="20" l="1"/>
  <c r="AR81" i="20" s="1"/>
  <c r="AR82" i="20" s="1"/>
  <c r="AR86" i="20"/>
  <c r="AR88" i="20" s="1"/>
  <c r="AR83" i="20"/>
  <c r="AR49" i="20"/>
  <c r="AS59" i="20" s="1"/>
  <c r="AS60" i="20" s="1"/>
  <c r="AR75" i="20" l="1"/>
  <c r="AS67" i="20" s="1"/>
  <c r="AS62" i="20"/>
  <c r="AR51" i="20"/>
  <c r="AS69" i="20"/>
  <c r="AS77" i="20" l="1"/>
  <c r="AS42" i="20" l="1"/>
  <c r="AS47" i="20" s="1"/>
  <c r="AS79" i="20"/>
  <c r="AS71" i="20" s="1"/>
  <c r="AS73" i="20" l="1"/>
  <c r="AS75" i="20" s="1"/>
  <c r="AS86" i="20"/>
  <c r="AS88" i="20" s="1"/>
  <c r="AS83" i="20"/>
  <c r="AS49" i="20"/>
  <c r="AT59" i="20" s="1"/>
  <c r="AT60" i="20" s="1"/>
  <c r="AS81" i="20" l="1"/>
  <c r="AS82" i="20" s="1"/>
  <c r="AS51" i="20"/>
  <c r="AT62" i="20"/>
  <c r="AT67" i="20"/>
  <c r="AT69" i="20"/>
  <c r="AT77" i="20" l="1"/>
  <c r="AT42" i="20" l="1"/>
  <c r="AT47" i="20" s="1"/>
  <c r="AT79" i="20"/>
  <c r="AT71" i="20" s="1"/>
  <c r="AT73" i="20" l="1"/>
  <c r="AT81" i="20" s="1"/>
  <c r="AT82" i="20" s="1"/>
  <c r="AT86" i="20"/>
  <c r="AT88" i="20" s="1"/>
  <c r="AT83" i="20"/>
  <c r="AT49" i="20"/>
  <c r="AU59" i="20" s="1"/>
  <c r="AU60" i="20" s="1"/>
  <c r="AT75" i="20" l="1"/>
  <c r="AU67" i="20" s="1"/>
  <c r="AU62" i="20"/>
  <c r="AT51" i="20"/>
  <c r="AU69" i="20" l="1"/>
  <c r="AU77" i="20" s="1"/>
  <c r="AU42" i="20" s="1"/>
  <c r="AU47" i="20" s="1"/>
  <c r="AU79" i="20" l="1"/>
  <c r="AU71" i="20" s="1"/>
  <c r="AU73" i="20" s="1"/>
  <c r="AU81" i="20" s="1"/>
  <c r="AU82" i="20" s="1"/>
  <c r="AU49" i="20"/>
  <c r="AV59" i="20" s="1"/>
  <c r="AV60" i="20" s="1"/>
  <c r="AU83" i="20" l="1"/>
  <c r="AU75" i="20"/>
  <c r="AV67" i="20" s="1"/>
  <c r="AU86" i="20"/>
  <c r="AU88" i="20" s="1"/>
  <c r="AV62" i="20"/>
  <c r="AU51" i="20"/>
  <c r="AV69" i="20"/>
  <c r="AV77" i="20" l="1"/>
  <c r="AV42" i="20" l="1"/>
  <c r="AV47" i="20" s="1"/>
  <c r="AV79" i="20"/>
  <c r="AV71" i="20" s="1"/>
  <c r="AV73" i="20" l="1"/>
  <c r="AV75" i="20" s="1"/>
  <c r="AV86" i="20"/>
  <c r="AV88" i="20" s="1"/>
  <c r="AV83" i="20"/>
  <c r="AV49" i="20"/>
  <c r="AW59" i="20" s="1"/>
  <c r="AW60" i="20" s="1"/>
  <c r="AV81" i="20" l="1"/>
  <c r="AV82" i="20" s="1"/>
  <c r="AV51" i="20"/>
  <c r="AW62" i="20"/>
  <c r="AW67" i="20"/>
  <c r="AW69" i="20" l="1"/>
  <c r="AW77" i="20" s="1"/>
  <c r="AW42" i="20" s="1"/>
  <c r="AW47" i="20" s="1"/>
  <c r="AW79" i="20"/>
  <c r="AW71" i="20" s="1"/>
  <c r="AW73" i="20" s="1"/>
  <c r="AW86" i="20" l="1"/>
  <c r="AW88" i="20" s="1"/>
  <c r="AW81" i="20"/>
  <c r="AW82" i="20" s="1"/>
  <c r="AW75" i="20"/>
  <c r="AW83" i="20"/>
  <c r="AW49" i="20"/>
  <c r="AX59" i="20" s="1"/>
  <c r="AX60" i="20" s="1"/>
  <c r="AW51" i="20" l="1"/>
  <c r="AX62" i="20"/>
  <c r="AX67" i="20"/>
  <c r="AX69" i="20"/>
  <c r="AX77" i="20" s="1"/>
  <c r="AX42" i="20" l="1"/>
  <c r="AX47" i="20" s="1"/>
  <c r="AX79" i="20"/>
  <c r="AX71" i="20" s="1"/>
  <c r="AX73" i="20" s="1"/>
  <c r="AX86" i="20" l="1"/>
  <c r="AX88" i="20" s="1"/>
  <c r="AX81" i="20"/>
  <c r="AX82" i="20" s="1"/>
  <c r="AX75" i="20"/>
  <c r="AX83" i="20"/>
  <c r="AX49" i="20"/>
  <c r="AY59" i="20" s="1"/>
  <c r="AY60" i="20" s="1"/>
  <c r="AY62" i="20" l="1"/>
  <c r="AX51" i="20"/>
  <c r="AY67" i="20"/>
  <c r="AY69" i="20"/>
  <c r="AY77" i="20" l="1"/>
  <c r="AY42" i="20" l="1"/>
  <c r="AY47" i="20" s="1"/>
  <c r="AY79" i="20"/>
  <c r="AY71" i="20" s="1"/>
  <c r="AY73" i="20" l="1"/>
  <c r="AY81" i="20" s="1"/>
  <c r="AY82" i="20" s="1"/>
  <c r="AY86" i="20"/>
  <c r="AY88" i="20" s="1"/>
  <c r="AY83" i="20"/>
  <c r="AY49" i="20"/>
  <c r="AZ59" i="20" s="1"/>
  <c r="AZ60" i="20" s="1"/>
  <c r="AY75" i="20" l="1"/>
  <c r="AZ67" i="20" s="1"/>
  <c r="AZ62" i="20"/>
  <c r="AY51" i="20"/>
  <c r="AZ69" i="20" l="1"/>
  <c r="AZ77" i="20" s="1"/>
  <c r="AZ42" i="20" s="1"/>
  <c r="AZ47" i="20" s="1"/>
  <c r="AZ79" i="20" l="1"/>
  <c r="AZ71" i="20" s="1"/>
  <c r="AZ73" i="20" s="1"/>
  <c r="AZ81" i="20" s="1"/>
  <c r="AZ82" i="20" s="1"/>
  <c r="AZ49" i="20"/>
  <c r="BA59" i="20" s="1"/>
  <c r="BA60" i="20" s="1"/>
  <c r="AZ83" i="20" l="1"/>
  <c r="AZ75" i="20"/>
  <c r="AZ86" i="20"/>
  <c r="AZ88" i="20" s="1"/>
  <c r="AZ51" i="20"/>
  <c r="BA62" i="20"/>
  <c r="BA67" i="20"/>
  <c r="BA69" i="20"/>
  <c r="BA77" i="20" l="1"/>
  <c r="BA42" i="20" l="1"/>
  <c r="BA47" i="20" s="1"/>
  <c r="BA79" i="20"/>
  <c r="BA71" i="20" s="1"/>
  <c r="BA73" i="20" l="1"/>
  <c r="BA81" i="20" s="1"/>
  <c r="BA82" i="20" s="1"/>
  <c r="BA86" i="20"/>
  <c r="BA88" i="20" s="1"/>
  <c r="BA83" i="20"/>
  <c r="BA49" i="20"/>
  <c r="BB59" i="20" s="1"/>
  <c r="BB60" i="20" s="1"/>
  <c r="BA75" i="20" l="1"/>
  <c r="BB67" i="20" s="1"/>
  <c r="BB62" i="20"/>
  <c r="BA51" i="20"/>
  <c r="BB69" i="20"/>
  <c r="BB77" i="20" l="1"/>
  <c r="BB42" i="20" l="1"/>
  <c r="BB47" i="20" s="1"/>
  <c r="BB79" i="20"/>
  <c r="BB71" i="20" s="1"/>
  <c r="BB73" i="20" l="1"/>
  <c r="BB81" i="20" s="1"/>
  <c r="BB82" i="20" s="1"/>
  <c r="BB86" i="20"/>
  <c r="BB88" i="20" s="1"/>
  <c r="BB83" i="20"/>
  <c r="BB49" i="20"/>
  <c r="BC59" i="20" s="1"/>
  <c r="BC60" i="20" s="1"/>
  <c r="BB75" i="20" l="1"/>
  <c r="BC67" i="20" s="1"/>
  <c r="BB51" i="20"/>
  <c r="BC62" i="20"/>
  <c r="BC69" i="20"/>
  <c r="BC77" i="20" l="1"/>
  <c r="BC42" i="20" s="1"/>
  <c r="BC47" i="20" s="1"/>
  <c r="BC79" i="20" l="1"/>
  <c r="BC71" i="20" s="1"/>
  <c r="BC73" i="20" s="1"/>
  <c r="BC81" i="20" s="1"/>
  <c r="BC82" i="20" s="1"/>
  <c r="BC49" i="20"/>
  <c r="BD59" i="20" s="1"/>
  <c r="BD60" i="20" s="1"/>
  <c r="BC83" i="20" l="1"/>
  <c r="BC75" i="20"/>
  <c r="BC86" i="20"/>
  <c r="BC88" i="20" s="1"/>
  <c r="BC51" i="20"/>
  <c r="BD62" i="20"/>
  <c r="BD67" i="20"/>
  <c r="BD69" i="20"/>
  <c r="BD77" i="20" l="1"/>
  <c r="BD42" i="20" l="1"/>
  <c r="BD47" i="20" s="1"/>
  <c r="BD79" i="20"/>
  <c r="BD71" i="20" s="1"/>
  <c r="BD73" i="20" l="1"/>
  <c r="BD81" i="20" s="1"/>
  <c r="BD82" i="20" s="1"/>
  <c r="BD86" i="20"/>
  <c r="BD88" i="20" s="1"/>
  <c r="BD83" i="20"/>
  <c r="BD49" i="20"/>
  <c r="BE59" i="20" s="1"/>
  <c r="BE60" i="20" s="1"/>
  <c r="BD75" i="20" l="1"/>
  <c r="BE67" i="20" s="1"/>
  <c r="BD51" i="20"/>
  <c r="BE62" i="20"/>
  <c r="BE69" i="20" l="1"/>
  <c r="BE77" i="20" s="1"/>
  <c r="BE42" i="20" l="1"/>
  <c r="BE47" i="20" s="1"/>
  <c r="BE79" i="20"/>
  <c r="BE71" i="20" s="1"/>
  <c r="BE73" i="20" l="1"/>
  <c r="BE75" i="20" s="1"/>
  <c r="BE86" i="20"/>
  <c r="BE88" i="20" s="1"/>
  <c r="BE83" i="20"/>
  <c r="BE49" i="20"/>
  <c r="BF59" i="20" s="1"/>
  <c r="BF60" i="20" s="1"/>
  <c r="BE81" i="20" l="1"/>
  <c r="BE82" i="20" s="1"/>
  <c r="BE51" i="20"/>
  <c r="BF62" i="20"/>
  <c r="BF67" i="20"/>
  <c r="BF69" i="20" l="1"/>
  <c r="BF77" i="20" s="1"/>
  <c r="BF42" i="20" l="1"/>
  <c r="BF47" i="20" s="1"/>
  <c r="BF79" i="20"/>
  <c r="BF71" i="20" s="1"/>
  <c r="BF73" i="20" l="1"/>
  <c r="BF81" i="20" s="1"/>
  <c r="BF82" i="20" s="1"/>
  <c r="BF86" i="20"/>
  <c r="BF88" i="20" s="1"/>
  <c r="BF83" i="20"/>
  <c r="BF49" i="20"/>
  <c r="BG59" i="20" s="1"/>
  <c r="BG60" i="20" s="1"/>
  <c r="BF75" i="20" l="1"/>
  <c r="BG67" i="20" s="1"/>
  <c r="BF51" i="20"/>
  <c r="BG62" i="20"/>
  <c r="BG69" i="20" l="1"/>
  <c r="BG77" i="20" s="1"/>
  <c r="BG42" i="20" l="1"/>
  <c r="BG47" i="20" s="1"/>
  <c r="BG79" i="20"/>
  <c r="BG71" i="20" s="1"/>
  <c r="BG73" i="20" l="1"/>
  <c r="BG81" i="20" s="1"/>
  <c r="BG82" i="20" s="1"/>
  <c r="BG86" i="20"/>
  <c r="BG88" i="20" s="1"/>
  <c r="BG83" i="20"/>
  <c r="BG49" i="20"/>
  <c r="BH59" i="20" s="1"/>
  <c r="BH60" i="20" s="1"/>
  <c r="BG75" i="20" l="1"/>
  <c r="BH69" i="20" s="1"/>
  <c r="BH77" i="20" s="1"/>
  <c r="BG51" i="20"/>
  <c r="BH62" i="20"/>
  <c r="BH67" i="20" l="1"/>
  <c r="BH42" i="20"/>
  <c r="BH47" i="20" s="1"/>
  <c r="BH79" i="20"/>
  <c r="BH71" i="20" s="1"/>
  <c r="BH73" i="20" s="1"/>
  <c r="BH86" i="20" l="1"/>
  <c r="BH88" i="20" s="1"/>
  <c r="BH81" i="20"/>
  <c r="BH82" i="20" s="1"/>
  <c r="BH75" i="20"/>
  <c r="BH83" i="20"/>
  <c r="BH49" i="20"/>
  <c r="BI59" i="20" s="1"/>
  <c r="BI60" i="20" s="1"/>
  <c r="BI62" i="20" l="1"/>
  <c r="BH51" i="20"/>
  <c r="BI67" i="20"/>
  <c r="BI69" i="20"/>
  <c r="BI77" i="20" l="1"/>
  <c r="BI42" i="20" l="1"/>
  <c r="BI47" i="20" s="1"/>
  <c r="BI79" i="20"/>
  <c r="BI71" i="20" s="1"/>
  <c r="BI73" i="20" l="1"/>
  <c r="BI81" i="20" s="1"/>
  <c r="BI82" i="20" s="1"/>
  <c r="BI86" i="20"/>
  <c r="BI88" i="20" s="1"/>
  <c r="BI83" i="20"/>
  <c r="BI49" i="20"/>
  <c r="BJ59" i="20" s="1"/>
  <c r="BJ60" i="20" s="1"/>
  <c r="BI75" i="20" l="1"/>
  <c r="BJ67" i="20" s="1"/>
  <c r="BI51" i="20"/>
  <c r="BJ69" i="20"/>
  <c r="BJ62" i="20"/>
  <c r="BJ77" i="20" l="1"/>
  <c r="BJ42" i="20" l="1"/>
  <c r="BJ47" i="20" s="1"/>
  <c r="BJ79" i="20"/>
  <c r="BJ71" i="20" s="1"/>
  <c r="BJ73" i="20" l="1"/>
  <c r="BJ81" i="20" s="1"/>
  <c r="BJ82" i="20" s="1"/>
  <c r="BJ86" i="20"/>
  <c r="BJ88" i="20" s="1"/>
  <c r="BJ83" i="20"/>
  <c r="BJ49" i="20"/>
  <c r="BK59" i="20" s="1"/>
  <c r="BK60" i="20" s="1"/>
  <c r="BJ75" i="20" l="1"/>
  <c r="BK67" i="20" s="1"/>
  <c r="BK62" i="20"/>
  <c r="BJ51" i="20"/>
  <c r="BK69" i="20"/>
  <c r="BK77" i="20" s="1"/>
  <c r="BK42" i="20" l="1"/>
  <c r="BK47" i="20" s="1"/>
  <c r="BK79" i="20"/>
  <c r="BK71" i="20" s="1"/>
  <c r="BK73" i="20" s="1"/>
  <c r="BK86" i="20" l="1"/>
  <c r="BK88" i="20" s="1"/>
  <c r="BK81" i="20"/>
  <c r="BK82" i="20" s="1"/>
  <c r="BK75" i="20"/>
  <c r="BK83" i="20"/>
  <c r="BK49" i="20"/>
  <c r="BL59" i="20" s="1"/>
  <c r="BL60" i="20" s="1"/>
  <c r="BL62" i="20" l="1"/>
  <c r="BK51" i="20"/>
  <c r="BL67" i="20"/>
  <c r="BL69" i="20"/>
  <c r="BL77" i="20" l="1"/>
  <c r="BL42" i="20" l="1"/>
  <c r="BL47" i="20" s="1"/>
  <c r="BL79" i="20"/>
  <c r="BL71" i="20" s="1"/>
  <c r="BL73" i="20" l="1"/>
  <c r="BL81" i="20" s="1"/>
  <c r="BL82" i="20" s="1"/>
  <c r="BL86" i="20"/>
  <c r="BL88" i="20" s="1"/>
  <c r="BL83" i="20"/>
  <c r="BL49" i="20"/>
  <c r="BM59" i="20" s="1"/>
  <c r="BM60" i="20" s="1"/>
  <c r="BL75" i="20" l="1"/>
  <c r="BM69" i="20" s="1"/>
  <c r="BM77" i="20" s="1"/>
  <c r="BM62" i="20"/>
  <c r="BL51" i="20"/>
  <c r="BM67" i="20" l="1"/>
  <c r="BM42" i="20"/>
  <c r="BM47" i="20" s="1"/>
  <c r="BM79" i="20"/>
  <c r="BM71" i="20" s="1"/>
  <c r="BM73" i="20" s="1"/>
  <c r="BM86" i="20" l="1"/>
  <c r="BM88" i="20" s="1"/>
  <c r="BM81" i="20"/>
  <c r="BM82" i="20" s="1"/>
  <c r="BM75" i="20"/>
  <c r="BM83" i="20"/>
  <c r="BM49" i="20"/>
  <c r="BN59" i="20" s="1"/>
  <c r="BN60" i="20" s="1"/>
  <c r="BN62" i="20" l="1"/>
  <c r="BM51" i="20"/>
  <c r="BN67" i="20"/>
  <c r="BN69" i="20"/>
  <c r="BN77" i="20" s="1"/>
  <c r="BN42" i="20" l="1"/>
  <c r="BN47" i="20" s="1"/>
  <c r="BN79" i="20"/>
  <c r="BN71" i="20" s="1"/>
  <c r="BN73" i="20" s="1"/>
  <c r="BN86" i="20" l="1"/>
  <c r="BN88" i="20" s="1"/>
  <c r="BN81" i="20"/>
  <c r="BN82" i="20" s="1"/>
  <c r="BN75" i="20"/>
  <c r="BN83" i="20"/>
  <c r="BN49" i="20"/>
  <c r="BO59" i="20" s="1"/>
  <c r="BO60" i="20" s="1"/>
  <c r="BO62" i="20" l="1"/>
  <c r="BN51" i="20"/>
  <c r="BO67" i="20"/>
  <c r="BO69" i="20"/>
  <c r="BO77" i="20" l="1"/>
  <c r="BO42" i="20" l="1"/>
  <c r="BO47" i="20" s="1"/>
  <c r="BO79" i="20"/>
  <c r="BO71" i="20" s="1"/>
  <c r="BO73" i="20" l="1"/>
  <c r="BO81" i="20" s="1"/>
  <c r="BO82" i="20" s="1"/>
  <c r="BO86" i="20"/>
  <c r="BO88" i="20" s="1"/>
  <c r="BO83" i="20"/>
  <c r="BO49" i="20"/>
  <c r="BP59" i="20" s="1"/>
  <c r="BP60" i="20" s="1"/>
  <c r="BO75" i="20" l="1"/>
  <c r="BP67" i="20" s="1"/>
  <c r="BP62" i="20"/>
  <c r="BO51" i="20"/>
  <c r="BP69" i="20"/>
  <c r="BP77" i="20" l="1"/>
  <c r="BP42" i="20" l="1"/>
  <c r="BP47" i="20" s="1"/>
  <c r="BP79" i="20"/>
  <c r="BP71" i="20" s="1"/>
  <c r="BP73" i="20" l="1"/>
  <c r="BP86" i="20"/>
  <c r="BP88" i="20" s="1"/>
  <c r="BP81" i="20"/>
  <c r="BP82" i="20" s="1"/>
  <c r="BP75" i="20"/>
  <c r="BP83" i="20"/>
  <c r="BP49" i="20"/>
  <c r="BQ59" i="20" s="1"/>
  <c r="BQ60" i="20" s="1"/>
  <c r="BQ62" i="20" l="1"/>
  <c r="BP51" i="20"/>
  <c r="BQ67" i="20"/>
  <c r="BQ69" i="20"/>
  <c r="BQ77" i="20" l="1"/>
  <c r="BQ42" i="20" l="1"/>
  <c r="BQ47" i="20" s="1"/>
  <c r="BQ79" i="20"/>
  <c r="BQ71" i="20" s="1"/>
  <c r="BQ73" i="20" l="1"/>
  <c r="BQ81" i="20" s="1"/>
  <c r="BQ82" i="20" s="1"/>
  <c r="BQ86" i="20"/>
  <c r="BQ88" i="20" s="1"/>
  <c r="BQ83" i="20"/>
  <c r="BQ49" i="20"/>
  <c r="BR59" i="20" s="1"/>
  <c r="BR60" i="20" s="1"/>
  <c r="BQ75" i="20" l="1"/>
  <c r="BR67" i="20"/>
  <c r="BQ51" i="20"/>
  <c r="BR69" i="20"/>
  <c r="BR62" i="20"/>
  <c r="BR77" i="20" l="1"/>
  <c r="BR42" i="20" l="1"/>
  <c r="BR47" i="20" s="1"/>
  <c r="BR79" i="20"/>
  <c r="BR71" i="20" s="1"/>
  <c r="BR73" i="20" l="1"/>
  <c r="BR86" i="20"/>
  <c r="BR88" i="20" s="1"/>
  <c r="BR81" i="20"/>
  <c r="BR82" i="20" s="1"/>
  <c r="BR75" i="20"/>
  <c r="BR83" i="20"/>
  <c r="BR49" i="20"/>
  <c r="BS59" i="20" s="1"/>
  <c r="BS60" i="20" s="1"/>
  <c r="BS62" i="20" l="1"/>
  <c r="BR51" i="20"/>
  <c r="BS67" i="20"/>
  <c r="BS69" i="20"/>
  <c r="BS77" i="20" s="1"/>
  <c r="BS42" i="20" l="1"/>
  <c r="BS47" i="20" s="1"/>
  <c r="BS79" i="20"/>
  <c r="BS71" i="20" s="1"/>
  <c r="BS73" i="20" s="1"/>
  <c r="BS86" i="20" l="1"/>
  <c r="BS88" i="20" s="1"/>
  <c r="BS81" i="20"/>
  <c r="BS82" i="20" s="1"/>
  <c r="BS75" i="20"/>
  <c r="BS83" i="20"/>
  <c r="BS49" i="20"/>
  <c r="BT59" i="20" s="1"/>
  <c r="BT60" i="20" s="1"/>
  <c r="BT62" i="20" l="1"/>
  <c r="BS51" i="20"/>
  <c r="BT67" i="20"/>
  <c r="BT69" i="20"/>
  <c r="BT77" i="20" l="1"/>
  <c r="BT42" i="20" l="1"/>
  <c r="BT47" i="20" s="1"/>
  <c r="BT79" i="20"/>
  <c r="BT71" i="20" s="1"/>
  <c r="BT73" i="20" l="1"/>
  <c r="BT81" i="20" s="1"/>
  <c r="BT82" i="20" s="1"/>
  <c r="BT86" i="20"/>
  <c r="BT88" i="20" s="1"/>
  <c r="BT83" i="20"/>
  <c r="BT49" i="20"/>
  <c r="BU59" i="20" s="1"/>
  <c r="BU60" i="20" s="1"/>
  <c r="BT75" i="20" l="1"/>
  <c r="BU69" i="20" s="1"/>
  <c r="BU62" i="20"/>
  <c r="BT51" i="20"/>
  <c r="BU67" i="20" l="1"/>
  <c r="BU77" i="20"/>
  <c r="BU42" i="20" l="1"/>
  <c r="BU47" i="20" s="1"/>
  <c r="BU79" i="20"/>
  <c r="BU71" i="20" s="1"/>
  <c r="BU73" i="20" l="1"/>
  <c r="BU81" i="20" s="1"/>
  <c r="BU82" i="20" s="1"/>
  <c r="BU86" i="20"/>
  <c r="BU88" i="20" s="1"/>
  <c r="BU83" i="20"/>
  <c r="BU49" i="20"/>
  <c r="BV59" i="20" s="1"/>
  <c r="BV60" i="20" s="1"/>
  <c r="BU75" i="20" l="1"/>
  <c r="BV67" i="20" s="1"/>
  <c r="BU51" i="20"/>
  <c r="BV62" i="20"/>
  <c r="BV69" i="20" l="1"/>
  <c r="BV77" i="20" s="1"/>
  <c r="BV42" i="20" l="1"/>
  <c r="BV47" i="20" s="1"/>
  <c r="BV79" i="20"/>
  <c r="BV71" i="20" s="1"/>
  <c r="BV73" i="20" l="1"/>
  <c r="BV81" i="20" s="1"/>
  <c r="BV82" i="20" s="1"/>
  <c r="BV86" i="20"/>
  <c r="BV88" i="20" s="1"/>
  <c r="BV83" i="20"/>
  <c r="BV49" i="20"/>
  <c r="BW59" i="20" s="1"/>
  <c r="BW60" i="20" s="1"/>
  <c r="BV75" i="20" l="1"/>
  <c r="BW67" i="20" s="1"/>
  <c r="BV51" i="20"/>
  <c r="BW62" i="20"/>
  <c r="BW69" i="20" l="1"/>
  <c r="BW77" i="20" s="1"/>
  <c r="BW42" i="20" s="1"/>
  <c r="BW47" i="20" s="1"/>
  <c r="BW79" i="20" l="1"/>
  <c r="BW71" i="20" s="1"/>
  <c r="BW73" i="20" s="1"/>
  <c r="BW75" i="20" s="1"/>
  <c r="BW49" i="20"/>
  <c r="BX59" i="20" s="1"/>
  <c r="BX60" i="20" s="1"/>
  <c r="BW81" i="20" l="1"/>
  <c r="BW83" i="20"/>
  <c r="BW86" i="20"/>
  <c r="BW88" i="20" s="1"/>
  <c r="BX62" i="20"/>
  <c r="BW51" i="20"/>
  <c r="BX67" i="20"/>
  <c r="BX69" i="20" l="1"/>
  <c r="BX77" i="20" s="1"/>
  <c r="BW82" i="20"/>
  <c r="BX42" i="20" l="1"/>
  <c r="BX47" i="20" s="1"/>
  <c r="BX79" i="20"/>
  <c r="BX71" i="20" s="1"/>
  <c r="BX73" i="20" l="1"/>
  <c r="BX81" i="20" s="1"/>
  <c r="BX82" i="20" s="1"/>
  <c r="BX86" i="20"/>
  <c r="BX88" i="20" s="1"/>
  <c r="BX83" i="20"/>
  <c r="BX49" i="20"/>
  <c r="BY59" i="20" s="1"/>
  <c r="BY60" i="20" s="1"/>
  <c r="BX75" i="20" l="1"/>
  <c r="BY67" i="20" s="1"/>
  <c r="BY62" i="20"/>
  <c r="BX51" i="20"/>
  <c r="BY69" i="20"/>
  <c r="BY77" i="20" l="1"/>
  <c r="BY42" i="20" l="1"/>
  <c r="BY47" i="20" s="1"/>
  <c r="BY79" i="20"/>
  <c r="BY71" i="20" s="1"/>
  <c r="BY73" i="20" l="1"/>
  <c r="BY75" i="20" s="1"/>
  <c r="BY86" i="20"/>
  <c r="BY88" i="20" s="1"/>
  <c r="BY83" i="20"/>
  <c r="BY49" i="20"/>
  <c r="BZ59" i="20" s="1"/>
  <c r="BZ60" i="20" s="1"/>
  <c r="BY81" i="20" l="1"/>
  <c r="BZ62" i="20"/>
  <c r="BY51" i="20"/>
  <c r="BZ67" i="20"/>
  <c r="BZ69" i="20" l="1"/>
  <c r="BZ77" i="20" s="1"/>
  <c r="BY82" i="20"/>
  <c r="BZ42" i="20" l="1"/>
  <c r="BZ47" i="20" s="1"/>
  <c r="BZ79" i="20"/>
  <c r="BZ71" i="20" s="1"/>
  <c r="BZ73" i="20" l="1"/>
  <c r="BZ75" i="20" s="1"/>
  <c r="BZ86" i="20"/>
  <c r="BZ88" i="20" s="1"/>
  <c r="BZ83" i="20"/>
  <c r="BZ49" i="20"/>
  <c r="CA59" i="20" s="1"/>
  <c r="CA60" i="20" s="1"/>
  <c r="BZ81" i="20" l="1"/>
  <c r="BZ51" i="20"/>
  <c r="CA62" i="20"/>
  <c r="CA67" i="20"/>
  <c r="CA69" i="20" l="1"/>
  <c r="CA77" i="20" s="1"/>
  <c r="CA42" i="20" s="1"/>
  <c r="CA47" i="20" s="1"/>
  <c r="BZ82" i="20"/>
  <c r="CA79" i="20" l="1"/>
  <c r="CA71" i="20" s="1"/>
  <c r="CA73" i="20" s="1"/>
  <c r="CA81" i="20" s="1"/>
  <c r="CA82" i="20" s="1"/>
  <c r="CA49" i="20"/>
  <c r="CB59" i="20" s="1"/>
  <c r="CB60" i="20" s="1"/>
  <c r="CA75" i="20" l="1"/>
  <c r="CB67" i="20" s="1"/>
  <c r="CA83" i="20"/>
  <c r="CA86" i="20"/>
  <c r="CA88" i="20" s="1"/>
  <c r="CB62" i="20"/>
  <c r="CA51" i="20"/>
  <c r="CB69" i="20"/>
  <c r="CB77" i="20" s="1"/>
  <c r="CB42" i="20" l="1"/>
  <c r="CB47" i="20" s="1"/>
  <c r="CB79" i="20"/>
  <c r="CB71" i="20" s="1"/>
  <c r="CB73" i="20" s="1"/>
  <c r="CB86" i="20" l="1"/>
  <c r="CB88" i="20" s="1"/>
  <c r="CB81" i="20"/>
  <c r="CB82" i="20" s="1"/>
  <c r="CB75" i="20"/>
  <c r="CB83" i="20"/>
  <c r="CB49" i="20"/>
  <c r="CC59" i="20" s="1"/>
  <c r="CC60" i="20" s="1"/>
  <c r="CC62" i="20" l="1"/>
  <c r="CB51" i="20"/>
  <c r="CC67" i="20"/>
  <c r="CC69" i="20"/>
  <c r="CC77" i="20" l="1"/>
  <c r="CC42" i="20" l="1"/>
  <c r="CC47" i="20" s="1"/>
  <c r="CC79" i="20"/>
  <c r="CC71" i="20" s="1"/>
  <c r="CC73" i="20" l="1"/>
  <c r="CC81" i="20" s="1"/>
  <c r="CC82" i="20" s="1"/>
  <c r="CC86" i="20"/>
  <c r="CC88" i="20" s="1"/>
  <c r="CC83" i="20"/>
  <c r="CC49" i="20"/>
  <c r="CD59" i="20" s="1"/>
  <c r="CD60" i="20" s="1"/>
  <c r="CC75" i="20" l="1"/>
  <c r="CD67" i="20" s="1"/>
  <c r="CD62" i="20"/>
  <c r="CC51" i="20"/>
  <c r="CD69" i="20" l="1"/>
  <c r="CD77" i="20" s="1"/>
  <c r="CD42" i="20" s="1"/>
  <c r="CD47" i="20" s="1"/>
  <c r="CD79" i="20" l="1"/>
  <c r="CD71" i="20" s="1"/>
  <c r="CD73" i="20" s="1"/>
  <c r="CD81" i="20" s="1"/>
  <c r="CD82" i="20" s="1"/>
  <c r="CD49" i="20"/>
  <c r="CE59" i="20" s="1"/>
  <c r="CD83" i="20" l="1"/>
  <c r="CD75" i="20"/>
  <c r="CD86" i="20"/>
  <c r="CD88" i="20" s="1"/>
  <c r="CE60" i="20"/>
  <c r="CE69" i="20" s="1"/>
  <c r="J59" i="20"/>
  <c r="CD51" i="20"/>
  <c r="CE67" i="20"/>
  <c r="J69" i="20" l="1"/>
  <c r="CE77" i="20"/>
  <c r="CE79" i="20" s="1"/>
  <c r="J79" i="20" s="1"/>
  <c r="I34" i="18" s="1"/>
  <c r="J60" i="20"/>
  <c r="CE62" i="20"/>
  <c r="J63" i="20" s="1"/>
  <c r="I31" i="18" s="1"/>
  <c r="CE71" i="20" l="1"/>
  <c r="CE86" i="20" s="1"/>
  <c r="CE42" i="20"/>
  <c r="CE83" i="20"/>
  <c r="J83" i="20" s="1"/>
  <c r="J77" i="20"/>
  <c r="CE88" i="20" l="1"/>
  <c r="J88" i="20" s="1"/>
  <c r="J86" i="20"/>
  <c r="CE47" i="20"/>
  <c r="J42" i="20"/>
  <c r="I16" i="18" s="1"/>
  <c r="I17" i="18" s="1"/>
  <c r="J71" i="20"/>
  <c r="CE73" i="20"/>
  <c r="J89" i="20" l="1"/>
  <c r="I40" i="18" s="1"/>
  <c r="I39" i="18"/>
  <c r="J73" i="20"/>
  <c r="CE81" i="20"/>
  <c r="CE75" i="20"/>
  <c r="CE49" i="20"/>
  <c r="J49" i="20" s="1"/>
  <c r="I19" i="18" s="1"/>
  <c r="J47" i="20"/>
  <c r="J81" i="20" l="1"/>
  <c r="I35" i="18" s="1"/>
  <c r="I37" i="18" s="1"/>
  <c r="CE82" i="20"/>
  <c r="J91" i="20" s="1"/>
  <c r="CE51" i="20"/>
  <c r="J51" i="20" s="1"/>
  <c r="I21" i="18" s="1"/>
  <c r="I22" i="18" s="1"/>
  <c r="J75" i="20"/>
  <c r="J76" i="20"/>
  <c r="I33" i="18" s="1"/>
  <c r="I41" i="18" l="1"/>
  <c r="J92" i="20"/>
  <c r="I43" i="18" s="1"/>
</calcChain>
</file>

<file path=xl/sharedStrings.xml><?xml version="1.0" encoding="utf-8"?>
<sst xmlns="http://schemas.openxmlformats.org/spreadsheetml/2006/main" count="302" uniqueCount="186">
  <si>
    <t>Расходы</t>
  </si>
  <si>
    <t>Валовая прибыль</t>
  </si>
  <si>
    <t>Чистая прибыль</t>
  </si>
  <si>
    <t>Выручка</t>
  </si>
  <si>
    <t>Авторский надзор (ГАСН)</t>
  </si>
  <si>
    <t>Прочие расходы</t>
  </si>
  <si>
    <t>Страхование объекта</t>
  </si>
  <si>
    <t>СМР</t>
  </si>
  <si>
    <t>ОСНО</t>
  </si>
  <si>
    <t>УСН(6%)</t>
  </si>
  <si>
    <t>УСН(15%)</t>
  </si>
  <si>
    <t>Период: ежемесячно</t>
  </si>
  <si>
    <t>сценарий</t>
  </si>
  <si>
    <t>Результаты</t>
  </si>
  <si>
    <t>жилые</t>
  </si>
  <si>
    <t>машиноместа</t>
  </si>
  <si>
    <t>Инвестиционные затраты</t>
  </si>
  <si>
    <t>руб</t>
  </si>
  <si>
    <t>материалы</t>
  </si>
  <si>
    <t>НДС по материалам</t>
  </si>
  <si>
    <t>%-нт по материалам за нал</t>
  </si>
  <si>
    <t>НДФЛ по собств. СМР</t>
  </si>
  <si>
    <t>соцсборы (ЕСН) по собств. СМР</t>
  </si>
  <si>
    <t>%-нт по СМР за нал</t>
  </si>
  <si>
    <t>коммерческие, продажа</t>
  </si>
  <si>
    <t>коммерческие, аренда</t>
  </si>
  <si>
    <t>Себестоимость</t>
  </si>
  <si>
    <t>Риэлторы, брокеры</t>
  </si>
  <si>
    <t>руб.</t>
  </si>
  <si>
    <t>Отчисления в компенсационный фонд</t>
  </si>
  <si>
    <t>расход НДС</t>
  </si>
  <si>
    <t>начисление НП</t>
  </si>
  <si>
    <t>Поступления ДС</t>
  </si>
  <si>
    <t>Отток ДС</t>
  </si>
  <si>
    <t>Отток ДС на депозит</t>
  </si>
  <si>
    <t>Приток ДС с депозита</t>
  </si>
  <si>
    <t>Приток %-нтов по депозиту</t>
  </si>
  <si>
    <t>Финпоток по инвест и основной деят-ти</t>
  </si>
  <si>
    <t>Финпоток накопит итогом по инвест и основной деят-ти</t>
  </si>
  <si>
    <t>Размер кассового разрыва</t>
  </si>
  <si>
    <t>Собственные ДС на начало периода</t>
  </si>
  <si>
    <t>ставка по банковскому кредиту</t>
  </si>
  <si>
    <t>%-нты по кредиту</t>
  </si>
  <si>
    <t>%-нты по депозиту</t>
  </si>
  <si>
    <t>Прибыль до налогообложения</t>
  </si>
  <si>
    <t>маржа</t>
  </si>
  <si>
    <t>в т.ч.</t>
  </si>
  <si>
    <t>обеспечение наличных</t>
  </si>
  <si>
    <t>наличный оборот</t>
  </si>
  <si>
    <t>Кредитный портфель на начало периода</t>
  </si>
  <si>
    <t>Объем поступлений кредитных средств</t>
  </si>
  <si>
    <t>Объем возвратов кредитных средств</t>
  </si>
  <si>
    <t>Кредитный поток</t>
  </si>
  <si>
    <t>Кредитный портфель на конец периода</t>
  </si>
  <si>
    <t>Начислено процентов по кредиту за период</t>
  </si>
  <si>
    <t>Оплата процентов по кредиту</t>
  </si>
  <si>
    <t>Остаток ДС с уч. кредита на конец периода</t>
  </si>
  <si>
    <t>Начисл. %-нтов по кредиту на конец периода</t>
  </si>
  <si>
    <t>чистая маржа</t>
  </si>
  <si>
    <t>дельта по %-нтам</t>
  </si>
  <si>
    <t>Выбор системы налогообложения (1/0)</t>
  </si>
  <si>
    <t>*</t>
  </si>
  <si>
    <t>Предпроектные (ГПЗУ), проектные работы, снос здания</t>
  </si>
  <si>
    <t>Содержание службы Заказчика и техдирекции строительства</t>
  </si>
  <si>
    <t>Экспл-ные расходы стр-ва, а также расходы по охране объекта</t>
  </si>
  <si>
    <t>Приобретение проекта/приобретение прав на землю</t>
  </si>
  <si>
    <t>Непредвиденные расходы</t>
  </si>
  <si>
    <t>Налог на землю</t>
  </si>
  <si>
    <t>Расчеты на основании нормативов расхода материалов и работ на 1 кв.м. общей площади</t>
  </si>
  <si>
    <t>Финансово-инвестиционный калькулятор для строительно-монтажных проектов (строительство МКД)</t>
  </si>
  <si>
    <t>Размер кредитных средств</t>
  </si>
  <si>
    <t>Прирост денежных средств за Период</t>
  </si>
  <si>
    <t>Период: 72 месяца (6 лет)</t>
  </si>
  <si>
    <t>начисление/к возврату НДС</t>
  </si>
  <si>
    <t>размер собственных денежных средств, руб.</t>
  </si>
  <si>
    <t>площадь объекта, кв.м.</t>
  </si>
  <si>
    <t>чистая стоимость материалов, руб./1кв.м.</t>
  </si>
  <si>
    <t>%-нт материалов в собственность или с НДС, %</t>
  </si>
  <si>
    <t>%-нт материалов на подряд УСН, %</t>
  </si>
  <si>
    <t>%-нт материалов за нал, %</t>
  </si>
  <si>
    <t>чистая стоимость СМР, руб./1кв.м.</t>
  </si>
  <si>
    <t>%-нт СМР - собственный штат, %</t>
  </si>
  <si>
    <t>%-нт СМР на подряд УСН, %</t>
  </si>
  <si>
    <t>%-нт СМР за нал, %</t>
  </si>
  <si>
    <t>%-нт за нал, %</t>
  </si>
  <si>
    <t>жилая площадь на продажу, кв.м.</t>
  </si>
  <si>
    <t>минимальная стоимость, руб./1кв.м.</t>
  </si>
  <si>
    <t>максимальная стоимость, руб./1кв.м.</t>
  </si>
  <si>
    <t>НДС при продаже жилой площади (ДДУ), %</t>
  </si>
  <si>
    <t>кол-во м/м на продажу, шт.</t>
  </si>
  <si>
    <t>минимальная стоимость, руб./1м.м.</t>
  </si>
  <si>
    <t>максимальная стоимость, руб./1м.м.</t>
  </si>
  <si>
    <t>НДС при продаже машиномест, %</t>
  </si>
  <si>
    <t>коммерческая площадь на реализацию, кв.м.</t>
  </si>
  <si>
    <t>%-нт на продажу, %</t>
  </si>
  <si>
    <t>мин ст-ть продажи, руб./1кв.м.</t>
  </si>
  <si>
    <t>макс ст-ть продажи, руб./1кв.м.</t>
  </si>
  <si>
    <t>%-нт в аренду, %</t>
  </si>
  <si>
    <t>ежемесячная арендная ставка, руб./1кв.м.</t>
  </si>
  <si>
    <t>НДС при продаже коммерческой площади, %</t>
  </si>
  <si>
    <t>НДС при сдаче в аренду коммерч. площади, %</t>
  </si>
  <si>
    <t>%-нт банковского кредита, %г</t>
  </si>
  <si>
    <t>%-нт от выручки прочих расходов, %</t>
  </si>
  <si>
    <t>%-нт банковского депозита, %г</t>
  </si>
  <si>
    <t>Регулярная ставка НДС, %</t>
  </si>
  <si>
    <t>Ставка НДФЛ, %</t>
  </si>
  <si>
    <t>%-нт соцсборов (ПФР+ФФОМС+ФСС), %</t>
  </si>
  <si>
    <t>Объем собств. средств согласно 218-ФЗ с 01.07.18г., %</t>
  </si>
  <si>
    <t>Объем резервных собств. средств до 01.07.18г., %</t>
  </si>
  <si>
    <t>старт проекта, мес. из списка</t>
  </si>
  <si>
    <t>старт строительства, мес. из списка</t>
  </si>
  <si>
    <t>окончание строительства, мес. из списка</t>
  </si>
  <si>
    <t>^</t>
  </si>
  <si>
    <t>показатель</t>
  </si>
  <si>
    <t>ед.изм.</t>
  </si>
  <si>
    <t>итого</t>
  </si>
  <si>
    <t>месяц:</t>
  </si>
  <si>
    <t>пик продаж, мес. из списка</t>
  </si>
  <si>
    <t>стройка:</t>
  </si>
  <si>
    <t>продажи до пика продаж:</t>
  </si>
  <si>
    <t>продажи после пика продаж:</t>
  </si>
  <si>
    <t>% от выручки</t>
  </si>
  <si>
    <t>% от с/ст-ти</t>
  </si>
  <si>
    <t>Выбор системы оплаты %-нтов по кредиту (1/0)</t>
  </si>
  <si>
    <t>обязательная ежемесячная оплата начисленных %%</t>
  </si>
  <si>
    <t xml:space="preserve">%% платятся при положительном финпотоке по осн. деят-ти </t>
  </si>
  <si>
    <t>разрешение на строительство, мес. из списка</t>
  </si>
  <si>
    <t>ставка дисконтирования, %</t>
  </si>
  <si>
    <t>ИТОГО ФИНПОТОК</t>
  </si>
  <si>
    <t>коэффициент дисконтирования</t>
  </si>
  <si>
    <t>дисконт</t>
  </si>
  <si>
    <t>NPV прироста ДС за Период</t>
  </si>
  <si>
    <t>NPV проекта</t>
  </si>
  <si>
    <t>месяц окупаемости, месяц</t>
  </si>
  <si>
    <t>срок окупаемости, кол-во лет</t>
  </si>
  <si>
    <t>+7(985)201-6607</t>
  </si>
  <si>
    <t>Деятельность: строительная</t>
  </si>
  <si>
    <t>МЕТОДОЛОГИЯ</t>
  </si>
  <si>
    <t>вкладки</t>
  </si>
  <si>
    <t>ячейки</t>
  </si>
  <si>
    <t>описание</t>
  </si>
  <si>
    <t>Ячейки для внесения исходных данных</t>
  </si>
  <si>
    <t>Ячейки для внесения исходных данных из выпадающего списка</t>
  </si>
  <si>
    <t>Если необходимо поменять какие-либо из уже существующих данных, то ориентироваться необходимо на "красные звездочки" и пунктирные границы ячеек.</t>
  </si>
  <si>
    <t>условия</t>
  </si>
  <si>
    <t>Внесение вручную ключевых данных для финансовой модели</t>
  </si>
  <si>
    <t>Выбор системы налогообложения</t>
  </si>
  <si>
    <t>E9-E11</t>
  </si>
  <si>
    <t>В ячейках E9,E10 и E11 пользователю предлагается выбрать необходимую систему налогообложения путем проставления либо "1", либо "0" - "1" ставится напротив выбранной системы налообложения; "0" - ставятся на остальных двух.</t>
  </si>
  <si>
    <t>ДС на начало проекта</t>
  </si>
  <si>
    <t>E13</t>
  </si>
  <si>
    <t>В ячейке E13 задается объем денежных средств (ДС), которым обладает проект на начало строительства.</t>
  </si>
  <si>
    <t>начало периода</t>
  </si>
  <si>
    <t>E15-E19</t>
  </si>
  <si>
    <t>В ячейках E15-E18 задаются основные временнЫе характеристики строительного проекта (начало и окончание строительства и т.п.). В ячейке E19 задается "пик продаж", который необходим для задания распределения объемов продаж: в строках 26,27 и 29 вкладки "ежемесячно" распределение продаж задается формулой, суть которой следующая - производится линейное восходящее распределение продаж от старта продаж к пику продаж, и от пика продаж задается нисходящее линейное распределение продаж от пика до окончания. Пользователь может сам задать свою формулу распределения продаж.</t>
  </si>
  <si>
    <t>общая и жилая площадь МКД</t>
  </si>
  <si>
    <t>E21,E33</t>
  </si>
  <si>
    <t>Здесь задаются соответственно общая и жилая площади объекта строительства - первая площадь используется для себестоимостных расчетов, а вторая - для доходной части.</t>
  </si>
  <si>
    <t>нормативы строительства</t>
  </si>
  <si>
    <t>E22, E26</t>
  </si>
  <si>
    <t>В ячейках E22 и E26 задаются соответственно нормативные стоимости на один квадрат общей площади материалов и СМР, которые соответственно в блоках ячеек E23-E25 и E27-E29, дтализируются в зависимости от того как оформлены отношения с поставщиками и подрядчиками.</t>
  </si>
  <si>
    <t>стоимость за квадрат</t>
  </si>
  <si>
    <t>E34, E35</t>
  </si>
  <si>
    <t>Здесь задаются минимальная и максимальная стоимости одного квадратного метра при продаже квартир, которые в ячейке J26 вкладки "ежемесячно" усредняются и умножаются на ячейку E33 вкладки "условия" (количество квадратных метров продающегося жилья). После чего полученная сумма доходов распределяется по месяцам.</t>
  </si>
  <si>
    <t>продажа машиномест</t>
  </si>
  <si>
    <t>E39-E41</t>
  </si>
  <si>
    <t>Аналогично ячейкам E33-E35 производится расчет и распределение продаж машиномест (в случае если таковые предполагаются по проекту). В листе "ежемесячно" продажи машиномест задаются в строке 29</t>
  </si>
  <si>
    <t>продажа и аренда нежилых помещений</t>
  </si>
  <si>
    <t>E45-E50</t>
  </si>
  <si>
    <t>Аналогично</t>
  </si>
  <si>
    <t>прочие задаваемые вручную параметры</t>
  </si>
  <si>
    <t>E56-E77</t>
  </si>
  <si>
    <t>В этих ячейках пользователь вносит вручную значения тех показателей, которые прописаны в ячейках с C56 по C77.</t>
  </si>
  <si>
    <t>Заданные в столбце E вкладки "условия" значения используются во вкладке "ежемесячно" для расчета всех основных финансово-экономических показателей проекта, которые в свою очередь аккумулируются и сводятся в столбец I вкладки "условия".</t>
  </si>
  <si>
    <t xml:space="preserve">Таким образом, пользователь может, меняя в столбце E различные исходные значения базовых характеристик проекта, получать в столбце I финансовый результат выраженный в виде краткого отчета P&amp;L, см. блок ячеек H9-I22; размер кассового разрыва, необходимый объем кредитования и %-нтная нагрузка в блоке ячеек H31-I34, и, наконец, основные инвестиционные характеристики проекта, такие как NPV и срок окупаемости в блоке ячеек H39-I43, при заданной ставке дисконтирования в ячейке E77. </t>
  </si>
  <si>
    <t>ежемесячно</t>
  </si>
  <si>
    <t>Часть исходных данных вносится и во вкладке "ежемесячно"</t>
  </si>
  <si>
    <t>Вкладка "ежемесячно" является функционалом "модели-калькулятора" - здесь производятся все основные расчеты.</t>
  </si>
  <si>
    <t>стр10-16</t>
  </si>
  <si>
    <t>В строках с 10той по 16тую, начиная со столбца L, пользователю предлагается вручную внести данные об инвестиционных затратах, список которых представлен в ячейках E10-E16 (эти названия пользователь может менять на свое усмотрение).</t>
  </si>
  <si>
    <t>зависимые от продаж расходы</t>
  </si>
  <si>
    <t>H36-H38</t>
  </si>
  <si>
    <t>Здесь через проценты от выручки и себестоимости строительства задаются такие расходы как расходы на риэлторов, на страхование и на отчисления в компенсационный фонд.</t>
  </si>
  <si>
    <t>начало расчетов по проекту</t>
  </si>
  <si>
    <t>L7</t>
  </si>
  <si>
    <t>В ячейке L7 вкладки "ежемесячно" пользователь может самостоятельно задавать месяц начала расчетов по проекту.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</si>
</sst>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0.0%"/>
    <numFmt numFmtId="167" formatCode="[$-419]mmmm\ yyyy;@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theme="1" tint="0.34998626667073579"/>
      <name val="Calibri"/>
      <family val="2"/>
      <charset val="204"/>
      <scheme val="minor"/>
    </font>
    <font>
      <b/>
      <sz val="8"/>
      <color theme="1" tint="0.34998626667073579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z val="8"/>
      <color theme="9" tint="-0.499984740745262"/>
      <name val="Calibri"/>
      <family val="2"/>
      <charset val="204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rgb="FFC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9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165">
    <xf numFmtId="0" fontId="0" fillId="0" borderId="0" xfId="0"/>
    <xf numFmtId="0" fontId="10" fillId="0" borderId="0" xfId="0" applyFont="1"/>
    <xf numFmtId="166" fontId="10" fillId="0" borderId="0" xfId="0" applyNumberFormat="1" applyFont="1"/>
    <xf numFmtId="0" fontId="12" fillId="0" borderId="0" xfId="0" applyFont="1"/>
    <xf numFmtId="0" fontId="3" fillId="0" borderId="0" xfId="0" applyFont="1"/>
    <xf numFmtId="167" fontId="12" fillId="0" borderId="0" xfId="0" applyNumberFormat="1" applyFont="1"/>
    <xf numFmtId="3" fontId="3" fillId="0" borderId="0" xfId="0" applyNumberFormat="1" applyFont="1"/>
    <xf numFmtId="3" fontId="12" fillId="0" borderId="0" xfId="0" applyNumberFormat="1" applyFo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9" fontId="12" fillId="0" borderId="0" xfId="0" applyNumberFormat="1" applyFont="1"/>
    <xf numFmtId="3" fontId="2" fillId="2" borderId="10" xfId="0" applyNumberFormat="1" applyFont="1" applyFill="1" applyBorder="1"/>
    <xf numFmtId="3" fontId="10" fillId="5" borderId="10" xfId="0" applyNumberFormat="1" applyFont="1" applyFill="1" applyBorder="1"/>
    <xf numFmtId="3" fontId="10" fillId="6" borderId="10" xfId="0" applyNumberFormat="1" applyFont="1" applyFill="1" applyBorder="1"/>
    <xf numFmtId="3" fontId="2" fillId="6" borderId="10" xfId="0" applyNumberFormat="1" applyFont="1" applyFill="1" applyBorder="1"/>
    <xf numFmtId="0" fontId="2" fillId="2" borderId="0" xfId="0" applyFont="1" applyFill="1"/>
    <xf numFmtId="0" fontId="10" fillId="5" borderId="0" xfId="0" applyFont="1" applyFill="1"/>
    <xf numFmtId="0" fontId="10" fillId="6" borderId="0" xfId="0" applyFont="1" applyFill="1"/>
    <xf numFmtId="0" fontId="2" fillId="6" borderId="0" xfId="0" applyFont="1" applyFill="1"/>
    <xf numFmtId="0" fontId="3" fillId="3" borderId="0" xfId="0" applyFont="1" applyFill="1"/>
    <xf numFmtId="0" fontId="12" fillId="3" borderId="0" xfId="0" applyFont="1" applyFill="1"/>
    <xf numFmtId="0" fontId="3" fillId="3" borderId="8" xfId="0" applyFont="1" applyFill="1" applyBorder="1" applyAlignment="1">
      <alignment horizontal="center" vertical="center"/>
    </xf>
    <xf numFmtId="0" fontId="14" fillId="3" borderId="3" xfId="0" applyFont="1" applyFill="1" applyBorder="1"/>
    <xf numFmtId="3" fontId="12" fillId="3" borderId="8" xfId="0" applyNumberFormat="1" applyFont="1" applyFill="1" applyBorder="1"/>
    <xf numFmtId="167" fontId="12" fillId="3" borderId="8" xfId="0" applyNumberFormat="1" applyFont="1" applyFill="1" applyBorder="1"/>
    <xf numFmtId="167" fontId="3" fillId="3" borderId="8" xfId="0" applyNumberFormat="1" applyFont="1" applyFill="1" applyBorder="1"/>
    <xf numFmtId="3" fontId="3" fillId="3" borderId="8" xfId="0" applyNumberFormat="1" applyFont="1" applyFill="1" applyBorder="1"/>
    <xf numFmtId="9" fontId="3" fillId="3" borderId="8" xfId="0" applyNumberFormat="1" applyFont="1" applyFill="1" applyBorder="1"/>
    <xf numFmtId="9" fontId="3" fillId="3" borderId="9" xfId="0" applyNumberFormat="1" applyFont="1" applyFill="1" applyBorder="1"/>
    <xf numFmtId="0" fontId="12" fillId="3" borderId="11" xfId="0" applyFont="1" applyFill="1" applyBorder="1"/>
    <xf numFmtId="0" fontId="12" fillId="3" borderId="5" xfId="0" applyFont="1" applyFill="1" applyBorder="1"/>
    <xf numFmtId="9" fontId="12" fillId="3" borderId="8" xfId="0" applyNumberFormat="1" applyFont="1" applyFill="1" applyBorder="1"/>
    <xf numFmtId="0" fontId="15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3" borderId="0" xfId="0" applyFont="1" applyFill="1"/>
    <xf numFmtId="3" fontId="12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166" fontId="14" fillId="3" borderId="4" xfId="0" applyNumberFormat="1" applyFont="1" applyFill="1" applyBorder="1" applyAlignment="1">
      <alignment horizontal="right"/>
    </xf>
    <xf numFmtId="3" fontId="14" fillId="3" borderId="4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12" fillId="3" borderId="7" xfId="0" applyNumberFormat="1" applyFont="1" applyFill="1" applyBorder="1" applyAlignment="1">
      <alignment horizontal="right"/>
    </xf>
    <xf numFmtId="3" fontId="12" fillId="3" borderId="12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3" fillId="7" borderId="6" xfId="0" applyFont="1" applyFill="1" applyBorder="1"/>
    <xf numFmtId="0" fontId="15" fillId="7" borderId="6" xfId="0" applyFont="1" applyFill="1" applyBorder="1" applyAlignment="1">
      <alignment horizontal="center" vertical="center"/>
    </xf>
    <xf numFmtId="0" fontId="12" fillId="7" borderId="6" xfId="0" applyFont="1" applyFill="1" applyBorder="1"/>
    <xf numFmtId="3" fontId="12" fillId="7" borderId="6" xfId="0" applyNumberFormat="1" applyFont="1" applyFill="1" applyBorder="1" applyAlignment="1">
      <alignment horizontal="right"/>
    </xf>
    <xf numFmtId="0" fontId="10" fillId="2" borderId="0" xfId="0" applyFont="1" applyFill="1"/>
    <xf numFmtId="0" fontId="14" fillId="3" borderId="5" xfId="0" applyFont="1" applyFill="1" applyBorder="1"/>
    <xf numFmtId="166" fontId="14" fillId="3" borderId="12" xfId="0" applyNumberFormat="1" applyFont="1" applyFill="1" applyBorder="1" applyAlignment="1">
      <alignment horizontal="right"/>
    </xf>
    <xf numFmtId="0" fontId="16" fillId="3" borderId="0" xfId="0" applyFont="1" applyFill="1" applyAlignment="1">
      <alignment horizontal="center" vertical="center"/>
    </xf>
    <xf numFmtId="3" fontId="10" fillId="2" borderId="10" xfId="0" applyNumberFormat="1" applyFont="1" applyFill="1" applyBorder="1" applyAlignment="1">
      <alignment horizontal="right"/>
    </xf>
    <xf numFmtId="3" fontId="10" fillId="5" borderId="10" xfId="0" applyNumberFormat="1" applyFont="1" applyFill="1" applyBorder="1" applyAlignment="1">
      <alignment horizontal="right"/>
    </xf>
    <xf numFmtId="3" fontId="10" fillId="6" borderId="10" xfId="0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right"/>
    </xf>
    <xf numFmtId="3" fontId="17" fillId="0" borderId="8" xfId="0" applyNumberFormat="1" applyFont="1" applyBorder="1"/>
    <xf numFmtId="0" fontId="17" fillId="0" borderId="8" xfId="0" applyFont="1" applyBorder="1"/>
    <xf numFmtId="9" fontId="3" fillId="0" borderId="0" xfId="0" applyNumberFormat="1" applyFont="1"/>
    <xf numFmtId="3" fontId="3" fillId="0" borderId="0" xfId="0" applyNumberFormat="1" applyFont="1" applyAlignment="1">
      <alignment horizontal="right"/>
    </xf>
    <xf numFmtId="10" fontId="12" fillId="0" borderId="8" xfId="0" applyNumberFormat="1" applyFont="1" applyBorder="1"/>
    <xf numFmtId="9" fontId="12" fillId="0" borderId="13" xfId="0" applyNumberFormat="1" applyFont="1" applyBorder="1"/>
    <xf numFmtId="0" fontId="3" fillId="0" borderId="0" xfId="0" applyFont="1" applyFill="1"/>
    <xf numFmtId="0" fontId="13" fillId="0" borderId="0" xfId="0" applyFont="1" applyFill="1"/>
    <xf numFmtId="0" fontId="10" fillId="0" borderId="0" xfId="0" applyFont="1" applyFill="1"/>
    <xf numFmtId="2" fontId="10" fillId="0" borderId="1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2" fontId="13" fillId="0" borderId="10" xfId="0" applyNumberFormat="1" applyFont="1" applyFill="1" applyBorder="1"/>
    <xf numFmtId="0" fontId="19" fillId="8" borderId="0" xfId="0" applyFont="1" applyFill="1"/>
    <xf numFmtId="0" fontId="19" fillId="8" borderId="0" xfId="0" applyFont="1" applyFill="1" applyAlignment="1">
      <alignment horizontal="center" vertical="center"/>
    </xf>
    <xf numFmtId="3" fontId="19" fillId="8" borderId="0" xfId="0" applyNumberFormat="1" applyFont="1" applyFill="1" applyAlignment="1">
      <alignment horizontal="right"/>
    </xf>
    <xf numFmtId="0" fontId="15" fillId="0" borderId="0" xfId="0" applyFont="1"/>
    <xf numFmtId="3" fontId="15" fillId="0" borderId="0" xfId="0" applyNumberFormat="1" applyFont="1" applyAlignment="1">
      <alignment horizontal="right"/>
    </xf>
    <xf numFmtId="0" fontId="19" fillId="9" borderId="3" xfId="0" applyFont="1" applyFill="1" applyBorder="1"/>
    <xf numFmtId="3" fontId="19" fillId="9" borderId="4" xfId="0" applyNumberFormat="1" applyFont="1" applyFill="1" applyBorder="1" applyAlignment="1">
      <alignment horizontal="right"/>
    </xf>
    <xf numFmtId="0" fontId="15" fillId="3" borderId="3" xfId="0" applyFont="1" applyFill="1" applyBorder="1"/>
    <xf numFmtId="3" fontId="15" fillId="3" borderId="4" xfId="0" applyNumberFormat="1" applyFont="1" applyFill="1" applyBorder="1" applyAlignment="1">
      <alignment horizontal="right"/>
    </xf>
    <xf numFmtId="0" fontId="3" fillId="7" borderId="0" xfId="0" applyFont="1" applyFill="1"/>
    <xf numFmtId="0" fontId="15" fillId="7" borderId="0" xfId="0" applyFont="1" applyFill="1" applyAlignment="1">
      <alignment horizontal="center" vertical="center"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3" fontId="19" fillId="9" borderId="0" xfId="0" applyNumberFormat="1" applyFont="1" applyFill="1" applyAlignment="1">
      <alignment horizontal="right"/>
    </xf>
    <xf numFmtId="3" fontId="19" fillId="9" borderId="0" xfId="0" applyNumberFormat="1" applyFont="1" applyFill="1"/>
    <xf numFmtId="0" fontId="12" fillId="4" borderId="0" xfId="0" applyFont="1" applyFill="1"/>
    <xf numFmtId="3" fontId="12" fillId="4" borderId="0" xfId="0" applyNumberFormat="1" applyFont="1" applyFill="1" applyAlignment="1">
      <alignment horizontal="right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/>
    <xf numFmtId="3" fontId="21" fillId="4" borderId="0" xfId="0" applyNumberFormat="1" applyFont="1" applyFill="1" applyAlignment="1">
      <alignment horizontal="right"/>
    </xf>
    <xf numFmtId="3" fontId="21" fillId="4" borderId="0" xfId="0" applyNumberFormat="1" applyFont="1" applyFill="1"/>
    <xf numFmtId="3" fontId="13" fillId="4" borderId="10" xfId="0" applyNumberFormat="1" applyFont="1" applyFill="1" applyBorder="1"/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3" fontId="10" fillId="0" borderId="0" xfId="0" applyNumberFormat="1" applyFont="1"/>
    <xf numFmtId="10" fontId="3" fillId="0" borderId="0" xfId="0" applyNumberFormat="1" applyFont="1"/>
    <xf numFmtId="166" fontId="12" fillId="3" borderId="8" xfId="0" applyNumberFormat="1" applyFont="1" applyFill="1" applyBorder="1"/>
    <xf numFmtId="0" fontId="11" fillId="9" borderId="0" xfId="0" applyFont="1" applyFill="1"/>
    <xf numFmtId="0" fontId="11" fillId="9" borderId="0" xfId="0" applyFont="1" applyFill="1" applyAlignment="1">
      <alignment horizontal="center" vertical="center"/>
    </xf>
    <xf numFmtId="3" fontId="11" fillId="9" borderId="0" xfId="0" applyNumberFormat="1" applyFont="1" applyFill="1" applyAlignment="1">
      <alignment horizontal="right"/>
    </xf>
    <xf numFmtId="0" fontId="12" fillId="4" borderId="11" xfId="0" applyFon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167" fontId="12" fillId="4" borderId="7" xfId="0" applyNumberFormat="1" applyFont="1" applyFill="1" applyBorder="1"/>
    <xf numFmtId="0" fontId="12" fillId="4" borderId="5" xfId="0" applyFont="1" applyFill="1" applyBorder="1"/>
    <xf numFmtId="0" fontId="12" fillId="4" borderId="2" xfId="0" applyFont="1" applyFill="1" applyBorder="1"/>
    <xf numFmtId="0" fontId="12" fillId="4" borderId="2" xfId="0" applyFont="1" applyFill="1" applyBorder="1" applyAlignment="1">
      <alignment horizontal="center" vertical="center"/>
    </xf>
    <xf numFmtId="165" fontId="12" fillId="4" borderId="12" xfId="0" applyNumberFormat="1" applyFont="1" applyFill="1" applyBorder="1"/>
    <xf numFmtId="0" fontId="12" fillId="4" borderId="3" xfId="0" applyFont="1" applyFill="1" applyBorder="1"/>
    <xf numFmtId="165" fontId="12" fillId="4" borderId="4" xfId="0" applyNumberFormat="1" applyFont="1" applyFill="1" applyBorder="1" applyAlignment="1">
      <alignment horizontal="right"/>
    </xf>
    <xf numFmtId="3" fontId="12" fillId="4" borderId="12" xfId="0" applyNumberFormat="1" applyFont="1" applyFill="1" applyBorder="1" applyAlignment="1">
      <alignment horizontal="right"/>
    </xf>
    <xf numFmtId="0" fontId="14" fillId="3" borderId="0" xfId="0" applyFont="1" applyFill="1"/>
    <xf numFmtId="167" fontId="14" fillId="3" borderId="0" xfId="0" applyNumberFormat="1" applyFont="1" applyFill="1" applyAlignment="1">
      <alignment horizontal="right"/>
    </xf>
    <xf numFmtId="0" fontId="20" fillId="3" borderId="11" xfId="0" applyFont="1" applyFill="1" applyBorder="1"/>
    <xf numFmtId="3" fontId="20" fillId="3" borderId="7" xfId="0" applyNumberFormat="1" applyFont="1" applyFill="1" applyBorder="1" applyAlignment="1">
      <alignment horizontal="right"/>
    </xf>
    <xf numFmtId="0" fontId="15" fillId="3" borderId="5" xfId="0" applyFont="1" applyFill="1" applyBorder="1"/>
    <xf numFmtId="3" fontId="15" fillId="3" borderId="12" xfId="0" applyNumberFormat="1" applyFont="1" applyFill="1" applyBorder="1" applyAlignment="1">
      <alignment horizontal="right"/>
    </xf>
    <xf numFmtId="0" fontId="20" fillId="0" borderId="0" xfId="0" quotePrefix="1" applyFont="1" applyAlignment="1">
      <alignment horizontal="right" vertical="center"/>
    </xf>
    <xf numFmtId="0" fontId="13" fillId="3" borderId="0" xfId="0" applyFont="1" applyFill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wrapText="1"/>
    </xf>
    <xf numFmtId="0" fontId="13" fillId="0" borderId="0" xfId="0" applyFont="1"/>
    <xf numFmtId="0" fontId="13" fillId="7" borderId="14" xfId="0" applyFont="1" applyFill="1" applyBorder="1"/>
    <xf numFmtId="0" fontId="13" fillId="7" borderId="15" xfId="0" applyFont="1" applyFill="1" applyBorder="1"/>
    <xf numFmtId="0" fontId="13" fillId="7" borderId="15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wrapText="1"/>
    </xf>
    <xf numFmtId="0" fontId="13" fillId="7" borderId="16" xfId="0" applyFont="1" applyFill="1" applyBorder="1"/>
    <xf numFmtId="0" fontId="13" fillId="7" borderId="17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wrapText="1"/>
    </xf>
    <xf numFmtId="0" fontId="13" fillId="7" borderId="18" xfId="0" applyFont="1" applyFill="1" applyBorder="1"/>
    <xf numFmtId="0" fontId="10" fillId="3" borderId="0" xfId="0" applyFont="1" applyFill="1" applyBorder="1"/>
    <xf numFmtId="0" fontId="10" fillId="3" borderId="0" xfId="0" applyFont="1" applyFill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wrapText="1"/>
    </xf>
    <xf numFmtId="0" fontId="22" fillId="3" borderId="0" xfId="0" applyFont="1" applyFill="1" applyAlignment="1">
      <alignment horizontal="center" vertical="center"/>
    </xf>
    <xf numFmtId="0" fontId="23" fillId="3" borderId="8" xfId="0" applyNumberFormat="1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wrapText="1"/>
    </xf>
    <xf numFmtId="167" fontId="13" fillId="3" borderId="8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wrapText="1"/>
    </xf>
    <xf numFmtId="0" fontId="13" fillId="3" borderId="21" xfId="0" applyFont="1" applyFill="1" applyBorder="1" applyAlignment="1">
      <alignment wrapText="1"/>
    </xf>
    <xf numFmtId="0" fontId="11" fillId="9" borderId="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wrapText="1"/>
    </xf>
    <xf numFmtId="0" fontId="13" fillId="3" borderId="20" xfId="0" quotePrefix="1" applyFont="1" applyFill="1" applyBorder="1" applyAlignment="1">
      <alignment wrapText="1"/>
    </xf>
    <xf numFmtId="0" fontId="13" fillId="3" borderId="22" xfId="0" quotePrefix="1" applyFont="1" applyFill="1" applyBorder="1" applyAlignment="1">
      <alignment wrapText="1"/>
    </xf>
    <xf numFmtId="0" fontId="11" fillId="11" borderId="0" xfId="0" applyFont="1" applyFill="1" applyBorder="1" applyAlignment="1">
      <alignment horizontal="center" vertical="center"/>
    </xf>
    <xf numFmtId="0" fontId="13" fillId="7" borderId="23" xfId="0" applyFont="1" applyFill="1" applyBorder="1"/>
    <xf numFmtId="0" fontId="13" fillId="7" borderId="19" xfId="0" applyFont="1" applyFill="1" applyBorder="1"/>
    <xf numFmtId="0" fontId="13" fillId="7" borderId="19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wrapText="1"/>
    </xf>
    <xf numFmtId="0" fontId="13" fillId="7" borderId="24" xfId="0" applyFont="1" applyFill="1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5" fillId="3" borderId="0" xfId="0" quotePrefix="1" applyFont="1" applyFill="1" applyAlignment="1">
      <alignment horizontal="right" vertical="center"/>
    </xf>
  </cellXfs>
  <cellStyles count="9">
    <cellStyle name="Гиперссылка 2" xfId="3"/>
    <cellStyle name="Гиперссылка 3" xfId="8"/>
    <cellStyle name="Обычный" xfId="0" builtinId="0"/>
    <cellStyle name="Обычный 2" xfId="1"/>
    <cellStyle name="Обычный 2 2" xfId="4"/>
    <cellStyle name="Обычный 3" xfId="7"/>
    <cellStyle name="Процентный 2" xfId="2"/>
    <cellStyle name="Процентный 2 2" xfId="5"/>
    <cellStyle name="Финансовый 2" xfId="6"/>
  </cellStyles>
  <dxfs count="12">
    <dxf>
      <font>
        <color theme="0"/>
      </font>
      <fill>
        <patternFill>
          <bgColor theme="9" tint="-0.49998474074526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3300"/>
      <color rgb="FFE3E8E9"/>
      <color rgb="FFF2F2F2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4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stroitelno_montazhnogo_investitsionnogo_kalkulyatora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mngmnt.ru/finmodeli/primery_finmodeley/finmodel_stroitelno_montazhnogo_investitsionnogo_kalkulyatora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2255520</xdr:colOff>
      <xdr:row>2</xdr:row>
      <xdr:rowOff>144780</xdr:rowOff>
    </xdr:from>
    <xdr:to>
      <xdr:col>14</xdr:col>
      <xdr:colOff>106840</xdr:colOff>
      <xdr:row>6</xdr:row>
      <xdr:rowOff>144833</xdr:rowOff>
    </xdr:to>
    <xdr:pic>
      <xdr:nvPicPr>
        <xdr:cNvPr id="3" name="Рисунок 2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3620" y="358140"/>
          <a:ext cx="1844200" cy="609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68580</xdr:colOff>
      <xdr:row>0</xdr:row>
      <xdr:rowOff>83820</xdr:rowOff>
    </xdr:from>
    <xdr:to>
      <xdr:col>12</xdr:col>
      <xdr:colOff>83980</xdr:colOff>
      <xdr:row>4</xdr:row>
      <xdr:rowOff>106733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3280" y="8382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7</xdr:col>
      <xdr:colOff>914400</xdr:colOff>
      <xdr:row>0</xdr:row>
      <xdr:rowOff>68580</xdr:rowOff>
    </xdr:from>
    <xdr:to>
      <xdr:col>9</xdr:col>
      <xdr:colOff>68580</xdr:colOff>
      <xdr:row>5</xdr:row>
      <xdr:rowOff>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СМР-калькулятора MNGMNT.RU"/>
        </xdr:cNvPr>
        <xdr:cNvSpPr/>
      </xdr:nvSpPr>
      <xdr:spPr>
        <a:xfrm>
          <a:off x="5334000" y="68580"/>
          <a:ext cx="1859280" cy="64770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СТРОИТЕЛЬНО-МОНТАЖНЫЙ ИНВЕСТ КАЛЬКУЛЯТОР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944880</xdr:colOff>
      <xdr:row>1</xdr:row>
      <xdr:rowOff>0</xdr:rowOff>
    </xdr:from>
    <xdr:to>
      <xdr:col>4</xdr:col>
      <xdr:colOff>2804160</xdr:colOff>
      <xdr:row>6</xdr:row>
      <xdr:rowOff>0</xdr:rowOff>
    </xdr:to>
    <xdr:sp macro="" textlink="">
      <xdr:nvSpPr>
        <xdr:cNvPr id="3" name="Скругленный прямоугольник 2">
          <a:hlinkClick xmlns:r="http://schemas.openxmlformats.org/officeDocument/2006/relationships" r:id="rId1" tooltip="на сайт разработчика финмодели СМР-калькулятора MNGMNT.RU"/>
        </xdr:cNvPr>
        <xdr:cNvSpPr/>
      </xdr:nvSpPr>
      <xdr:spPr>
        <a:xfrm>
          <a:off x="1996440" y="129540"/>
          <a:ext cx="1859280" cy="64770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СТРОИТЕЛЬНО-МОНТАЖНЫЙ ИНВЕСТ КАЛЬКУЛЯТОР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44"/>
  <sheetViews>
    <sheetView showGridLines="0" tabSelected="1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 activeCell="C3" sqref="C3"/>
    </sheetView>
  </sheetViews>
  <sheetFormatPr defaultColWidth="9.109375" defaultRowHeight="12"/>
  <cols>
    <col min="1" max="1" width="1.6640625" style="126" customWidth="1"/>
    <col min="2" max="2" width="0.88671875" style="126" customWidth="1"/>
    <col min="3" max="3" width="1.6640625" style="126" customWidth="1"/>
    <col min="4" max="6" width="2.6640625" style="126" customWidth="1"/>
    <col min="7" max="7" width="24.109375" style="162" customWidth="1"/>
    <col min="8" max="8" width="2.6640625" style="126" customWidth="1"/>
    <col min="9" max="9" width="11.109375" style="162" bestFit="1" customWidth="1"/>
    <col min="10" max="10" width="1.6640625" style="126" customWidth="1"/>
    <col min="11" max="11" width="2.6640625" style="126" customWidth="1"/>
    <col min="12" max="12" width="1.6640625" style="126" customWidth="1"/>
    <col min="13" max="13" width="56.5546875" style="163" customWidth="1"/>
    <col min="14" max="16" width="1.6640625" style="126" customWidth="1"/>
    <col min="17" max="17" width="0.88671875" style="126" customWidth="1"/>
    <col min="18" max="18" width="1.6640625" style="126" customWidth="1"/>
    <col min="19" max="19" width="2.6640625" style="126" customWidth="1"/>
    <col min="20" max="16384" width="9.109375" style="126"/>
  </cols>
  <sheetData>
    <row r="1" spans="1:19">
      <c r="A1" s="123"/>
      <c r="B1" s="123"/>
      <c r="C1" s="123"/>
      <c r="D1" s="123"/>
      <c r="E1" s="123"/>
      <c r="F1" s="123"/>
      <c r="G1" s="124"/>
      <c r="H1" s="123"/>
      <c r="I1" s="124"/>
      <c r="J1" s="123"/>
      <c r="K1" s="123"/>
      <c r="L1" s="123"/>
      <c r="M1" s="125"/>
      <c r="N1" s="164" t="s">
        <v>135</v>
      </c>
      <c r="O1" s="123"/>
      <c r="P1" s="123"/>
      <c r="Q1" s="123"/>
      <c r="R1" s="123"/>
      <c r="S1" s="123"/>
    </row>
    <row r="2" spans="1:19" ht="4.95" customHeight="1">
      <c r="A2" s="123"/>
      <c r="B2" s="127"/>
      <c r="C2" s="128"/>
      <c r="D2" s="128"/>
      <c r="E2" s="128"/>
      <c r="F2" s="128"/>
      <c r="G2" s="129"/>
      <c r="H2" s="128"/>
      <c r="I2" s="129"/>
      <c r="J2" s="128"/>
      <c r="K2" s="128"/>
      <c r="L2" s="128"/>
      <c r="M2" s="130"/>
      <c r="N2" s="128"/>
      <c r="O2" s="128"/>
      <c r="P2" s="128"/>
      <c r="Q2" s="131"/>
      <c r="R2" s="123"/>
      <c r="S2" s="123"/>
    </row>
    <row r="3" spans="1:19">
      <c r="A3" s="123"/>
      <c r="B3" s="132"/>
      <c r="C3" s="133"/>
      <c r="D3" s="133"/>
      <c r="E3" s="133"/>
      <c r="F3" s="133"/>
      <c r="G3" s="134"/>
      <c r="H3" s="133"/>
      <c r="I3" s="134"/>
      <c r="J3" s="133"/>
      <c r="K3" s="133"/>
      <c r="L3" s="133"/>
      <c r="M3" s="135"/>
      <c r="N3" s="133"/>
      <c r="O3" s="133"/>
      <c r="P3" s="133"/>
      <c r="Q3" s="136"/>
      <c r="R3" s="123"/>
      <c r="S3" s="123"/>
    </row>
    <row r="4" spans="1:19">
      <c r="A4" s="123"/>
      <c r="B4" s="132"/>
      <c r="C4" s="133"/>
      <c r="D4" s="133"/>
      <c r="E4" s="137" t="str">
        <f>условия!B2</f>
        <v>Финансово-инвестиционный калькулятор для строительно-монтажных проектов (строительство МКД)</v>
      </c>
      <c r="F4" s="133"/>
      <c r="G4" s="134"/>
      <c r="H4" s="133"/>
      <c r="I4" s="134"/>
      <c r="J4" s="133"/>
      <c r="K4" s="133"/>
      <c r="L4" s="133"/>
      <c r="M4" s="133"/>
      <c r="N4" s="133"/>
      <c r="O4" s="133"/>
      <c r="P4" s="133"/>
      <c r="Q4" s="136"/>
      <c r="R4" s="123"/>
      <c r="S4" s="123"/>
    </row>
    <row r="5" spans="1:19">
      <c r="A5" s="123"/>
      <c r="B5" s="132"/>
      <c r="C5" s="133"/>
      <c r="D5" s="133"/>
      <c r="E5" s="137" t="s">
        <v>136</v>
      </c>
      <c r="F5" s="133"/>
      <c r="G5" s="134"/>
      <c r="H5" s="133"/>
      <c r="I5" s="134"/>
      <c r="J5" s="133"/>
      <c r="K5" s="133"/>
      <c r="L5" s="133"/>
      <c r="M5" s="133"/>
      <c r="N5" s="133"/>
      <c r="O5" s="133"/>
      <c r="P5" s="133"/>
      <c r="Q5" s="136"/>
      <c r="R5" s="123"/>
      <c r="S5" s="123"/>
    </row>
    <row r="6" spans="1:19">
      <c r="A6" s="123"/>
      <c r="B6" s="132"/>
      <c r="C6" s="133"/>
      <c r="D6" s="133"/>
      <c r="E6" s="137" t="s">
        <v>137</v>
      </c>
      <c r="F6" s="133"/>
      <c r="G6" s="134"/>
      <c r="H6" s="133"/>
      <c r="I6" s="134"/>
      <c r="J6" s="133"/>
      <c r="K6" s="133"/>
      <c r="L6" s="133"/>
      <c r="M6" s="133"/>
      <c r="N6" s="133"/>
      <c r="O6" s="133"/>
      <c r="P6" s="133"/>
      <c r="Q6" s="136"/>
      <c r="R6" s="123"/>
      <c r="S6" s="123"/>
    </row>
    <row r="7" spans="1:19">
      <c r="A7" s="123"/>
      <c r="B7" s="132"/>
      <c r="C7" s="133"/>
      <c r="D7" s="133"/>
      <c r="E7" s="133"/>
      <c r="F7" s="133"/>
      <c r="G7" s="134"/>
      <c r="H7" s="133"/>
      <c r="I7" s="134"/>
      <c r="J7" s="133"/>
      <c r="K7" s="133"/>
      <c r="L7" s="133"/>
      <c r="M7" s="135"/>
      <c r="N7" s="133"/>
      <c r="O7" s="133"/>
      <c r="P7" s="133"/>
      <c r="Q7" s="136"/>
      <c r="R7" s="123"/>
      <c r="S7" s="123"/>
    </row>
    <row r="8" spans="1:19" s="96" customFormat="1">
      <c r="A8" s="138"/>
      <c r="B8" s="139"/>
      <c r="C8" s="140"/>
      <c r="D8" s="140"/>
      <c r="E8" s="140"/>
      <c r="F8" s="140"/>
      <c r="G8" s="140" t="s">
        <v>138</v>
      </c>
      <c r="H8" s="140"/>
      <c r="I8" s="140" t="s">
        <v>139</v>
      </c>
      <c r="J8" s="140"/>
      <c r="K8" s="140"/>
      <c r="L8" s="140"/>
      <c r="M8" s="141" t="s">
        <v>140</v>
      </c>
      <c r="N8" s="140"/>
      <c r="O8" s="140"/>
      <c r="P8" s="140"/>
      <c r="Q8" s="142"/>
      <c r="R8" s="138"/>
      <c r="S8" s="138"/>
    </row>
    <row r="9" spans="1:19" ht="4.95" customHeight="1">
      <c r="A9" s="123"/>
      <c r="B9" s="132"/>
      <c r="C9" s="133"/>
      <c r="D9" s="133"/>
      <c r="E9" s="133"/>
      <c r="F9" s="133"/>
      <c r="G9" s="143"/>
      <c r="H9" s="133"/>
      <c r="I9" s="143"/>
      <c r="J9" s="133"/>
      <c r="K9" s="133"/>
      <c r="L9" s="133"/>
      <c r="M9" s="144"/>
      <c r="N9" s="133"/>
      <c r="O9" s="133"/>
      <c r="P9" s="133"/>
      <c r="Q9" s="136"/>
      <c r="R9" s="123"/>
      <c r="S9" s="123"/>
    </row>
    <row r="10" spans="1:19">
      <c r="A10" s="123"/>
      <c r="B10" s="132"/>
      <c r="C10" s="133"/>
      <c r="D10" s="133"/>
      <c r="E10" s="133"/>
      <c r="F10" s="133"/>
      <c r="G10" s="134"/>
      <c r="H10" s="133"/>
      <c r="I10" s="134"/>
      <c r="J10" s="133"/>
      <c r="K10" s="133"/>
      <c r="L10" s="133"/>
      <c r="M10" s="135"/>
      <c r="N10" s="133"/>
      <c r="O10" s="133"/>
      <c r="P10" s="133"/>
      <c r="Q10" s="136"/>
      <c r="R10" s="123"/>
      <c r="S10" s="123"/>
    </row>
    <row r="11" spans="1:19">
      <c r="A11" s="123"/>
      <c r="B11" s="132"/>
      <c r="C11" s="133"/>
      <c r="D11" s="133"/>
      <c r="E11" s="133"/>
      <c r="F11" s="133"/>
      <c r="G11" s="134"/>
      <c r="H11" s="133"/>
      <c r="I11" s="134"/>
      <c r="J11" s="133"/>
      <c r="K11" s="133"/>
      <c r="L11" s="133"/>
      <c r="M11" s="135"/>
      <c r="N11" s="133"/>
      <c r="O11" s="133"/>
      <c r="P11" s="133"/>
      <c r="Q11" s="136"/>
      <c r="R11" s="123"/>
      <c r="S11" s="123"/>
    </row>
    <row r="12" spans="1:19">
      <c r="A12" s="123"/>
      <c r="B12" s="132"/>
      <c r="C12" s="133"/>
      <c r="D12" s="133"/>
      <c r="E12" s="133"/>
      <c r="F12" s="133"/>
      <c r="G12" s="134"/>
      <c r="H12" s="145" t="s">
        <v>61</v>
      </c>
      <c r="I12" s="146"/>
      <c r="J12" s="133"/>
      <c r="K12" s="133"/>
      <c r="L12" s="133"/>
      <c r="M12" s="147" t="s">
        <v>141</v>
      </c>
      <c r="N12" s="133"/>
      <c r="O12" s="133"/>
      <c r="P12" s="133"/>
      <c r="Q12" s="136"/>
      <c r="R12" s="123"/>
      <c r="S12" s="123"/>
    </row>
    <row r="13" spans="1:19">
      <c r="A13" s="123"/>
      <c r="B13" s="132"/>
      <c r="C13" s="133"/>
      <c r="D13" s="133"/>
      <c r="E13" s="133"/>
      <c r="F13" s="133"/>
      <c r="G13" s="134"/>
      <c r="H13" s="133"/>
      <c r="I13" s="134"/>
      <c r="J13" s="133"/>
      <c r="K13" s="133"/>
      <c r="L13" s="133"/>
      <c r="M13" s="135"/>
      <c r="N13" s="133"/>
      <c r="O13" s="133"/>
      <c r="P13" s="133"/>
      <c r="Q13" s="136"/>
      <c r="R13" s="123"/>
      <c r="S13" s="123"/>
    </row>
    <row r="14" spans="1:19">
      <c r="A14" s="123"/>
      <c r="B14" s="132"/>
      <c r="C14" s="133"/>
      <c r="D14" s="133"/>
      <c r="E14" s="133"/>
      <c r="F14" s="133"/>
      <c r="G14" s="134"/>
      <c r="H14" s="145" t="s">
        <v>61</v>
      </c>
      <c r="I14" s="148"/>
      <c r="J14" s="149" t="s">
        <v>112</v>
      </c>
      <c r="K14" s="133"/>
      <c r="L14" s="133"/>
      <c r="M14" s="147" t="s">
        <v>142</v>
      </c>
      <c r="N14" s="133"/>
      <c r="O14" s="133"/>
      <c r="P14" s="133"/>
      <c r="Q14" s="136"/>
      <c r="R14" s="123"/>
      <c r="S14" s="123"/>
    </row>
    <row r="15" spans="1:19" ht="36">
      <c r="A15" s="123"/>
      <c r="B15" s="132"/>
      <c r="C15" s="133"/>
      <c r="D15" s="133"/>
      <c r="E15" s="133"/>
      <c r="F15" s="133"/>
      <c r="G15" s="134"/>
      <c r="H15" s="133"/>
      <c r="I15" s="134"/>
      <c r="J15" s="133"/>
      <c r="K15" s="133"/>
      <c r="L15" s="133"/>
      <c r="M15" s="150" t="s">
        <v>143</v>
      </c>
      <c r="N15" s="133"/>
      <c r="O15" s="133"/>
      <c r="P15" s="133"/>
      <c r="Q15" s="136"/>
      <c r="R15" s="123"/>
      <c r="S15" s="123"/>
    </row>
    <row r="16" spans="1:19">
      <c r="A16" s="123"/>
      <c r="B16" s="132"/>
      <c r="C16" s="133"/>
      <c r="D16" s="133"/>
      <c r="E16" s="133"/>
      <c r="F16" s="133"/>
      <c r="G16" s="134"/>
      <c r="H16" s="133"/>
      <c r="I16" s="134"/>
      <c r="J16" s="133"/>
      <c r="K16" s="133"/>
      <c r="L16" s="133"/>
      <c r="M16" s="151"/>
      <c r="N16" s="133"/>
      <c r="O16" s="133"/>
      <c r="P16" s="133"/>
      <c r="Q16" s="136"/>
      <c r="R16" s="123"/>
      <c r="S16" s="123"/>
    </row>
    <row r="17" spans="1:19">
      <c r="A17" s="123"/>
      <c r="B17" s="132"/>
      <c r="C17" s="133"/>
      <c r="D17" s="133"/>
      <c r="E17" s="133"/>
      <c r="F17" s="133"/>
      <c r="G17" s="152" t="s">
        <v>144</v>
      </c>
      <c r="H17" s="133"/>
      <c r="I17" s="134"/>
      <c r="J17" s="133"/>
      <c r="K17" s="133"/>
      <c r="L17" s="133"/>
      <c r="M17" s="153" t="s">
        <v>145</v>
      </c>
      <c r="N17" s="133"/>
      <c r="O17" s="133"/>
      <c r="P17" s="133"/>
      <c r="Q17" s="136"/>
      <c r="R17" s="123"/>
      <c r="S17" s="123"/>
    </row>
    <row r="18" spans="1:19">
      <c r="A18" s="123"/>
      <c r="B18" s="132"/>
      <c r="C18" s="133"/>
      <c r="D18" s="133"/>
      <c r="E18" s="133"/>
      <c r="F18" s="133"/>
      <c r="G18" s="134"/>
      <c r="H18" s="133"/>
      <c r="I18" s="134"/>
      <c r="J18" s="133"/>
      <c r="K18" s="133"/>
      <c r="L18" s="133"/>
      <c r="M18" s="154"/>
      <c r="N18" s="133"/>
      <c r="O18" s="133"/>
      <c r="P18" s="133"/>
      <c r="Q18" s="136"/>
      <c r="R18" s="123"/>
      <c r="S18" s="123"/>
    </row>
    <row r="19" spans="1:19" ht="48">
      <c r="A19" s="123"/>
      <c r="B19" s="132"/>
      <c r="C19" s="133"/>
      <c r="D19" s="133"/>
      <c r="E19" s="133"/>
      <c r="F19" s="133"/>
      <c r="G19" s="140" t="s">
        <v>146</v>
      </c>
      <c r="H19" s="137"/>
      <c r="I19" s="140" t="s">
        <v>147</v>
      </c>
      <c r="J19" s="133"/>
      <c r="K19" s="133"/>
      <c r="L19" s="133"/>
      <c r="M19" s="155" t="s">
        <v>148</v>
      </c>
      <c r="N19" s="133"/>
      <c r="O19" s="133"/>
      <c r="P19" s="133"/>
      <c r="Q19" s="136"/>
      <c r="R19" s="123"/>
      <c r="S19" s="123"/>
    </row>
    <row r="20" spans="1:19" ht="24">
      <c r="A20" s="123"/>
      <c r="B20" s="132"/>
      <c r="C20" s="133"/>
      <c r="D20" s="133"/>
      <c r="E20" s="133"/>
      <c r="F20" s="133"/>
      <c r="G20" s="140" t="s">
        <v>149</v>
      </c>
      <c r="H20" s="137"/>
      <c r="I20" s="140" t="s">
        <v>150</v>
      </c>
      <c r="J20" s="133"/>
      <c r="K20" s="133"/>
      <c r="L20" s="133"/>
      <c r="M20" s="155" t="s">
        <v>151</v>
      </c>
      <c r="N20" s="133"/>
      <c r="O20" s="133"/>
      <c r="P20" s="133"/>
      <c r="Q20" s="136"/>
      <c r="R20" s="123"/>
      <c r="S20" s="123"/>
    </row>
    <row r="21" spans="1:19" ht="108">
      <c r="A21" s="123"/>
      <c r="B21" s="132"/>
      <c r="C21" s="133"/>
      <c r="D21" s="133"/>
      <c r="E21" s="133"/>
      <c r="F21" s="133"/>
      <c r="G21" s="140" t="s">
        <v>152</v>
      </c>
      <c r="H21" s="137"/>
      <c r="I21" s="140" t="s">
        <v>153</v>
      </c>
      <c r="J21" s="133"/>
      <c r="K21" s="133"/>
      <c r="L21" s="133"/>
      <c r="M21" s="155" t="s">
        <v>154</v>
      </c>
      <c r="N21" s="133"/>
      <c r="O21" s="133"/>
      <c r="P21" s="133"/>
      <c r="Q21" s="136"/>
      <c r="R21" s="123"/>
      <c r="S21" s="123"/>
    </row>
    <row r="22" spans="1:19" ht="36">
      <c r="A22" s="123"/>
      <c r="B22" s="132"/>
      <c r="C22" s="133"/>
      <c r="D22" s="133"/>
      <c r="E22" s="133"/>
      <c r="F22" s="133"/>
      <c r="G22" s="140" t="s">
        <v>155</v>
      </c>
      <c r="H22" s="137"/>
      <c r="I22" s="140" t="s">
        <v>156</v>
      </c>
      <c r="J22" s="133"/>
      <c r="K22" s="133"/>
      <c r="L22" s="133"/>
      <c r="M22" s="155" t="s">
        <v>157</v>
      </c>
      <c r="N22" s="133"/>
      <c r="O22" s="133"/>
      <c r="P22" s="133"/>
      <c r="Q22" s="136"/>
      <c r="R22" s="123"/>
      <c r="S22" s="123"/>
    </row>
    <row r="23" spans="1:19" ht="48">
      <c r="A23" s="123"/>
      <c r="B23" s="132"/>
      <c r="C23" s="133"/>
      <c r="D23" s="133"/>
      <c r="E23" s="133"/>
      <c r="F23" s="133"/>
      <c r="G23" s="140" t="s">
        <v>158</v>
      </c>
      <c r="H23" s="137"/>
      <c r="I23" s="140" t="s">
        <v>159</v>
      </c>
      <c r="J23" s="133"/>
      <c r="K23" s="133"/>
      <c r="L23" s="133"/>
      <c r="M23" s="155" t="s">
        <v>160</v>
      </c>
      <c r="N23" s="133"/>
      <c r="O23" s="133"/>
      <c r="P23" s="133"/>
      <c r="Q23" s="136"/>
      <c r="R23" s="123"/>
      <c r="S23" s="123"/>
    </row>
    <row r="24" spans="1:19" ht="60">
      <c r="A24" s="123"/>
      <c r="B24" s="132"/>
      <c r="C24" s="133"/>
      <c r="D24" s="133"/>
      <c r="E24" s="133"/>
      <c r="F24" s="133"/>
      <c r="G24" s="140" t="s">
        <v>161</v>
      </c>
      <c r="H24" s="137"/>
      <c r="I24" s="140" t="s">
        <v>162</v>
      </c>
      <c r="J24" s="133"/>
      <c r="K24" s="133"/>
      <c r="L24" s="133"/>
      <c r="M24" s="155" t="s">
        <v>163</v>
      </c>
      <c r="N24" s="133"/>
      <c r="O24" s="133"/>
      <c r="P24" s="133"/>
      <c r="Q24" s="136"/>
      <c r="R24" s="123"/>
      <c r="S24" s="123"/>
    </row>
    <row r="25" spans="1:19" ht="36">
      <c r="A25" s="123"/>
      <c r="B25" s="132"/>
      <c r="C25" s="133"/>
      <c r="D25" s="133"/>
      <c r="E25" s="133"/>
      <c r="F25" s="133"/>
      <c r="G25" s="140" t="s">
        <v>164</v>
      </c>
      <c r="H25" s="137"/>
      <c r="I25" s="140" t="s">
        <v>165</v>
      </c>
      <c r="J25" s="133"/>
      <c r="K25" s="133"/>
      <c r="L25" s="133"/>
      <c r="M25" s="155" t="s">
        <v>166</v>
      </c>
      <c r="N25" s="133"/>
      <c r="O25" s="133"/>
      <c r="P25" s="133"/>
      <c r="Q25" s="136"/>
      <c r="R25" s="123"/>
      <c r="S25" s="123"/>
    </row>
    <row r="26" spans="1:19">
      <c r="A26" s="123"/>
      <c r="B26" s="132"/>
      <c r="C26" s="133"/>
      <c r="D26" s="133"/>
      <c r="E26" s="133"/>
      <c r="F26" s="133"/>
      <c r="G26" s="140" t="s">
        <v>167</v>
      </c>
      <c r="H26" s="137"/>
      <c r="I26" s="140" t="s">
        <v>168</v>
      </c>
      <c r="J26" s="133"/>
      <c r="K26" s="133"/>
      <c r="L26" s="133"/>
      <c r="M26" s="155" t="s">
        <v>169</v>
      </c>
      <c r="N26" s="133"/>
      <c r="O26" s="133"/>
      <c r="P26" s="133"/>
      <c r="Q26" s="136"/>
      <c r="R26" s="123"/>
      <c r="S26" s="123"/>
    </row>
    <row r="27" spans="1:19" ht="24">
      <c r="A27" s="123"/>
      <c r="B27" s="132"/>
      <c r="C27" s="133"/>
      <c r="D27" s="133"/>
      <c r="E27" s="133"/>
      <c r="F27" s="133"/>
      <c r="G27" s="140" t="s">
        <v>170</v>
      </c>
      <c r="H27" s="137"/>
      <c r="I27" s="140" t="s">
        <v>171</v>
      </c>
      <c r="J27" s="133"/>
      <c r="K27" s="133"/>
      <c r="L27" s="133"/>
      <c r="M27" s="155" t="s">
        <v>172</v>
      </c>
      <c r="N27" s="133"/>
      <c r="O27" s="133"/>
      <c r="P27" s="133"/>
      <c r="Q27" s="136"/>
      <c r="R27" s="123"/>
      <c r="S27" s="123"/>
    </row>
    <row r="28" spans="1:19" ht="48">
      <c r="A28" s="123"/>
      <c r="B28" s="132"/>
      <c r="C28" s="133"/>
      <c r="D28" s="133"/>
      <c r="E28" s="133"/>
      <c r="F28" s="133"/>
      <c r="G28" s="140"/>
      <c r="H28" s="137"/>
      <c r="I28" s="140"/>
      <c r="J28" s="133"/>
      <c r="K28" s="133"/>
      <c r="L28" s="133"/>
      <c r="M28" s="155" t="s">
        <v>173</v>
      </c>
      <c r="N28" s="133"/>
      <c r="O28" s="133"/>
      <c r="P28" s="133"/>
      <c r="Q28" s="136"/>
      <c r="R28" s="123"/>
      <c r="S28" s="123"/>
    </row>
    <row r="29" spans="1:19" ht="96">
      <c r="A29" s="123"/>
      <c r="B29" s="132"/>
      <c r="C29" s="133"/>
      <c r="D29" s="133"/>
      <c r="E29" s="133"/>
      <c r="F29" s="133"/>
      <c r="G29" s="140"/>
      <c r="H29" s="137"/>
      <c r="I29" s="140"/>
      <c r="J29" s="133"/>
      <c r="K29" s="133"/>
      <c r="L29" s="133"/>
      <c r="M29" s="155" t="s">
        <v>174</v>
      </c>
      <c r="N29" s="133"/>
      <c r="O29" s="133"/>
      <c r="P29" s="133"/>
      <c r="Q29" s="136"/>
      <c r="R29" s="123"/>
      <c r="S29" s="123"/>
    </row>
    <row r="30" spans="1:19">
      <c r="A30" s="123"/>
      <c r="B30" s="132"/>
      <c r="C30" s="133"/>
      <c r="D30" s="133"/>
      <c r="E30" s="133"/>
      <c r="F30" s="133"/>
      <c r="G30" s="134"/>
      <c r="H30" s="133"/>
      <c r="I30" s="134"/>
      <c r="J30" s="133"/>
      <c r="K30" s="133"/>
      <c r="L30" s="133"/>
      <c r="M30" s="151"/>
      <c r="N30" s="133"/>
      <c r="O30" s="133"/>
      <c r="P30" s="133"/>
      <c r="Q30" s="136"/>
      <c r="R30" s="123"/>
      <c r="S30" s="123"/>
    </row>
    <row r="31" spans="1:19">
      <c r="A31" s="123"/>
      <c r="B31" s="132"/>
      <c r="C31" s="133"/>
      <c r="D31" s="133"/>
      <c r="E31" s="133"/>
      <c r="F31" s="133"/>
      <c r="G31" s="156" t="s">
        <v>175</v>
      </c>
      <c r="H31" s="133"/>
      <c r="I31" s="134"/>
      <c r="J31" s="133"/>
      <c r="K31" s="133"/>
      <c r="L31" s="133"/>
      <c r="M31" s="153" t="s">
        <v>176</v>
      </c>
      <c r="N31" s="133"/>
      <c r="O31" s="133"/>
      <c r="P31" s="133"/>
      <c r="Q31" s="136"/>
      <c r="R31" s="123"/>
      <c r="S31" s="123"/>
    </row>
    <row r="32" spans="1:19" ht="24">
      <c r="A32" s="123"/>
      <c r="B32" s="132"/>
      <c r="C32" s="133"/>
      <c r="D32" s="133"/>
      <c r="E32" s="133"/>
      <c r="F32" s="133"/>
      <c r="G32" s="134"/>
      <c r="H32" s="133"/>
      <c r="I32" s="134"/>
      <c r="J32" s="133"/>
      <c r="K32" s="133"/>
      <c r="L32" s="133"/>
      <c r="M32" s="154" t="s">
        <v>177</v>
      </c>
      <c r="N32" s="133"/>
      <c r="O32" s="133"/>
      <c r="P32" s="133"/>
      <c r="Q32" s="136"/>
      <c r="R32" s="123"/>
      <c r="S32" s="123"/>
    </row>
    <row r="33" spans="1:19" ht="48">
      <c r="A33" s="123"/>
      <c r="B33" s="132"/>
      <c r="C33" s="133"/>
      <c r="D33" s="133"/>
      <c r="E33" s="133"/>
      <c r="F33" s="133"/>
      <c r="G33" s="140" t="s">
        <v>16</v>
      </c>
      <c r="H33" s="137"/>
      <c r="I33" s="140" t="s">
        <v>178</v>
      </c>
      <c r="J33" s="133"/>
      <c r="K33" s="133"/>
      <c r="L33" s="133"/>
      <c r="M33" s="155" t="s">
        <v>179</v>
      </c>
      <c r="N33" s="133"/>
      <c r="O33" s="133"/>
      <c r="P33" s="133"/>
      <c r="Q33" s="136"/>
      <c r="R33" s="123"/>
      <c r="S33" s="123"/>
    </row>
    <row r="34" spans="1:19" ht="36">
      <c r="A34" s="123"/>
      <c r="B34" s="132"/>
      <c r="C34" s="133"/>
      <c r="D34" s="133"/>
      <c r="E34" s="133"/>
      <c r="F34" s="133"/>
      <c r="G34" s="140" t="s">
        <v>180</v>
      </c>
      <c r="H34" s="137"/>
      <c r="I34" s="140" t="s">
        <v>181</v>
      </c>
      <c r="J34" s="133"/>
      <c r="K34" s="133"/>
      <c r="L34" s="133"/>
      <c r="M34" s="155" t="s">
        <v>182</v>
      </c>
      <c r="N34" s="133"/>
      <c r="O34" s="133"/>
      <c r="P34" s="133"/>
      <c r="Q34" s="136"/>
      <c r="R34" s="123"/>
      <c r="S34" s="123"/>
    </row>
    <row r="35" spans="1:19" ht="24">
      <c r="A35" s="123"/>
      <c r="B35" s="132"/>
      <c r="C35" s="133"/>
      <c r="D35" s="133"/>
      <c r="E35" s="133"/>
      <c r="F35" s="133"/>
      <c r="G35" s="140" t="s">
        <v>183</v>
      </c>
      <c r="H35" s="137"/>
      <c r="I35" s="140" t="s">
        <v>184</v>
      </c>
      <c r="J35" s="133"/>
      <c r="K35" s="133"/>
      <c r="L35" s="133"/>
      <c r="M35" s="155" t="s">
        <v>185</v>
      </c>
      <c r="N35" s="133"/>
      <c r="O35" s="133"/>
      <c r="P35" s="133"/>
      <c r="Q35" s="136"/>
      <c r="R35" s="123"/>
      <c r="S35" s="123"/>
    </row>
    <row r="36" spans="1:19">
      <c r="A36" s="123"/>
      <c r="B36" s="132"/>
      <c r="C36" s="133"/>
      <c r="D36" s="133"/>
      <c r="E36" s="133"/>
      <c r="F36" s="133"/>
      <c r="G36" s="134"/>
      <c r="H36" s="133"/>
      <c r="I36" s="134"/>
      <c r="J36" s="133"/>
      <c r="K36" s="133"/>
      <c r="L36" s="133"/>
      <c r="M36" s="133"/>
      <c r="N36" s="133"/>
      <c r="O36" s="133"/>
      <c r="P36" s="133"/>
      <c r="Q36" s="136"/>
      <c r="R36" s="123"/>
      <c r="S36" s="123"/>
    </row>
    <row r="37" spans="1:19">
      <c r="A37" s="123"/>
      <c r="B37" s="132"/>
      <c r="C37" s="133"/>
      <c r="D37" s="133"/>
      <c r="E37" s="133"/>
      <c r="F37" s="133"/>
      <c r="G37" s="134"/>
      <c r="H37" s="133"/>
      <c r="I37" s="134"/>
      <c r="J37" s="133"/>
      <c r="K37" s="133"/>
      <c r="L37" s="133"/>
      <c r="M37" s="133"/>
      <c r="N37" s="133"/>
      <c r="O37" s="133"/>
      <c r="P37" s="133"/>
      <c r="Q37" s="136"/>
      <c r="R37" s="123"/>
      <c r="S37" s="123"/>
    </row>
    <row r="38" spans="1:19">
      <c r="A38" s="123"/>
      <c r="B38" s="132"/>
      <c r="C38" s="133"/>
      <c r="D38" s="133"/>
      <c r="E38" s="133"/>
      <c r="F38" s="133"/>
      <c r="G38" s="134"/>
      <c r="H38" s="133"/>
      <c r="I38" s="134"/>
      <c r="J38" s="133"/>
      <c r="K38" s="133"/>
      <c r="L38" s="133"/>
      <c r="M38" s="133"/>
      <c r="N38" s="133"/>
      <c r="O38" s="133"/>
      <c r="P38" s="133"/>
      <c r="Q38" s="136"/>
      <c r="R38" s="123"/>
      <c r="S38" s="123"/>
    </row>
    <row r="39" spans="1:19">
      <c r="A39" s="123"/>
      <c r="B39" s="132"/>
      <c r="C39" s="133"/>
      <c r="D39" s="133"/>
      <c r="E39" s="133"/>
      <c r="F39" s="133"/>
      <c r="G39" s="134"/>
      <c r="H39" s="133"/>
      <c r="I39" s="134"/>
      <c r="J39" s="133"/>
      <c r="K39" s="133"/>
      <c r="L39" s="133"/>
      <c r="M39" s="135"/>
      <c r="N39" s="133"/>
      <c r="O39" s="133"/>
      <c r="P39" s="133"/>
      <c r="Q39" s="136"/>
      <c r="R39" s="123"/>
      <c r="S39" s="123"/>
    </row>
    <row r="40" spans="1:19">
      <c r="A40" s="123"/>
      <c r="B40" s="132"/>
      <c r="C40" s="133"/>
      <c r="D40" s="133"/>
      <c r="E40" s="133"/>
      <c r="F40" s="133"/>
      <c r="G40" s="134"/>
      <c r="H40" s="133"/>
      <c r="I40" s="134"/>
      <c r="J40" s="133"/>
      <c r="K40" s="133"/>
      <c r="L40" s="133"/>
      <c r="M40" s="135"/>
      <c r="N40" s="133"/>
      <c r="O40" s="133"/>
      <c r="P40" s="133"/>
      <c r="Q40" s="136"/>
      <c r="R40" s="123"/>
      <c r="S40" s="123"/>
    </row>
    <row r="41" spans="1:19" ht="4.95" customHeight="1">
      <c r="A41" s="123"/>
      <c r="B41" s="157"/>
      <c r="C41" s="158"/>
      <c r="D41" s="158"/>
      <c r="E41" s="158"/>
      <c r="F41" s="158"/>
      <c r="G41" s="159"/>
      <c r="H41" s="158"/>
      <c r="I41" s="159"/>
      <c r="J41" s="158"/>
      <c r="K41" s="158"/>
      <c r="L41" s="158"/>
      <c r="M41" s="160"/>
      <c r="N41" s="158"/>
      <c r="O41" s="158"/>
      <c r="P41" s="158"/>
      <c r="Q41" s="161"/>
      <c r="R41" s="123"/>
      <c r="S41" s="123"/>
    </row>
    <row r="42" spans="1:19">
      <c r="A42" s="123"/>
      <c r="B42" s="123"/>
      <c r="C42" s="123"/>
      <c r="D42" s="123"/>
      <c r="E42" s="123"/>
      <c r="F42" s="123"/>
      <c r="G42" s="124"/>
      <c r="H42" s="123"/>
      <c r="I42" s="124"/>
      <c r="J42" s="123"/>
      <c r="K42" s="123"/>
      <c r="L42" s="123"/>
      <c r="M42" s="125"/>
      <c r="N42" s="123"/>
      <c r="O42" s="123"/>
      <c r="P42" s="123"/>
      <c r="Q42" s="123"/>
      <c r="R42" s="123"/>
      <c r="S42" s="123"/>
    </row>
    <row r="43" spans="1:19">
      <c r="A43" s="123"/>
      <c r="B43" s="123"/>
      <c r="C43" s="123"/>
      <c r="D43" s="123"/>
      <c r="E43" s="123"/>
      <c r="F43" s="123"/>
      <c r="G43" s="124"/>
      <c r="H43" s="123"/>
      <c r="I43" s="124"/>
      <c r="J43" s="123"/>
      <c r="K43" s="123"/>
      <c r="L43" s="123"/>
      <c r="M43" s="125"/>
      <c r="N43" s="123"/>
      <c r="O43" s="123"/>
      <c r="P43" s="123"/>
      <c r="Q43" s="123"/>
      <c r="R43" s="123"/>
      <c r="S43" s="123"/>
    </row>
    <row r="44" spans="1:19">
      <c r="A44" s="123"/>
      <c r="B44" s="123"/>
      <c r="C44" s="123"/>
      <c r="D44" s="123"/>
      <c r="E44" s="123"/>
      <c r="F44" s="123"/>
      <c r="G44" s="124"/>
      <c r="H44" s="123"/>
      <c r="I44" s="124"/>
      <c r="J44" s="123"/>
      <c r="K44" s="123"/>
      <c r="L44" s="123"/>
      <c r="M44" s="125"/>
      <c r="N44" s="123"/>
      <c r="O44" s="123"/>
      <c r="P44" s="123"/>
      <c r="Q44" s="123"/>
      <c r="R44" s="123"/>
      <c r="S44" s="123"/>
    </row>
  </sheetData>
  <conditionalFormatting sqref="I12">
    <cfRule type="containsBlanks" dxfId="11" priority="2">
      <formula>LEN(TRIM(I12))=0</formula>
    </cfRule>
  </conditionalFormatting>
  <conditionalFormatting sqref="I14">
    <cfRule type="containsBlanks" dxfId="10" priority="1">
      <formula>LEN(TRIM(I14))=0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79"/>
  <sheetViews>
    <sheetView showGridLines="0" zoomScaleNormal="100" workbookViewId="0">
      <pane ySplit="7" topLeftCell="A11" activePane="bottomLeft" state="frozen"/>
      <selection pane="bottomLeft" activeCell="A4" sqref="A4"/>
    </sheetView>
  </sheetViews>
  <sheetFormatPr defaultRowHeight="10.199999999999999"/>
  <cols>
    <col min="1" max="2" width="2.77734375" style="4" customWidth="1"/>
    <col min="3" max="3" width="39.33203125" style="4" bestFit="1" customWidth="1"/>
    <col min="4" max="4" width="2.77734375" style="33" customWidth="1"/>
    <col min="5" max="5" width="11.21875" style="4" customWidth="1"/>
    <col min="6" max="7" width="2.77734375" style="4" customWidth="1"/>
    <col min="8" max="8" width="28.109375" style="3" bestFit="1" customWidth="1"/>
    <col min="9" max="9" width="11.33203125" style="43" customWidth="1"/>
    <col min="10" max="16384" width="8.88671875" style="4"/>
  </cols>
  <sheetData>
    <row r="1" spans="1:12">
      <c r="A1" s="19"/>
      <c r="B1" s="19"/>
      <c r="C1" s="19"/>
      <c r="D1" s="32"/>
      <c r="E1" s="19"/>
      <c r="F1" s="19"/>
      <c r="G1" s="19"/>
      <c r="H1" s="20"/>
      <c r="I1" s="36"/>
      <c r="J1" s="19"/>
      <c r="K1" s="19"/>
    </row>
    <row r="2" spans="1:12" s="1" customFormat="1" ht="12">
      <c r="A2" s="35"/>
      <c r="B2" s="35" t="s">
        <v>69</v>
      </c>
      <c r="C2" s="35"/>
      <c r="D2" s="34"/>
      <c r="E2" s="35"/>
      <c r="F2" s="35"/>
      <c r="G2" s="35"/>
      <c r="H2" s="35"/>
      <c r="I2" s="37"/>
      <c r="J2" s="35"/>
      <c r="K2" s="35"/>
    </row>
    <row r="3" spans="1:12" s="1" customFormat="1" ht="12">
      <c r="A3" s="35"/>
      <c r="B3" s="35" t="s">
        <v>68</v>
      </c>
      <c r="C3" s="35"/>
      <c r="D3" s="34"/>
      <c r="E3" s="35"/>
      <c r="F3" s="35"/>
      <c r="G3" s="35"/>
      <c r="H3" s="35"/>
      <c r="I3" s="37"/>
      <c r="J3" s="35"/>
      <c r="K3" s="35"/>
    </row>
    <row r="4" spans="1:12" s="1" customFormat="1" ht="12">
      <c r="A4" s="35"/>
      <c r="B4" s="35" t="s">
        <v>72</v>
      </c>
      <c r="C4" s="35"/>
      <c r="D4" s="34"/>
      <c r="E4" s="35"/>
      <c r="F4" s="35"/>
      <c r="G4" s="35"/>
      <c r="H4" s="35"/>
      <c r="I4" s="37"/>
      <c r="J4" s="35"/>
      <c r="K4" s="35"/>
    </row>
    <row r="5" spans="1:12">
      <c r="A5" s="19"/>
      <c r="B5" s="19"/>
      <c r="C5" s="19"/>
      <c r="D5" s="32"/>
      <c r="E5" s="19"/>
      <c r="F5" s="19"/>
      <c r="G5" s="19"/>
      <c r="H5" s="20"/>
      <c r="I5" s="36"/>
      <c r="J5" s="19"/>
      <c r="K5" s="19"/>
    </row>
    <row r="6" spans="1:12" s="3" customFormat="1">
      <c r="A6" s="20"/>
      <c r="B6" s="20"/>
      <c r="C6" s="20" t="s">
        <v>60</v>
      </c>
      <c r="D6" s="32"/>
      <c r="E6" s="20" t="str">
        <f>IF(SUM(E8:E11)&lt;&gt;1,"Ошибка!","")</f>
        <v/>
      </c>
      <c r="F6" s="20"/>
      <c r="G6" s="20"/>
      <c r="H6" s="20" t="s">
        <v>13</v>
      </c>
      <c r="I6" s="36" t="str">
        <f>IF($E$8=1,"тыс.руб.","руб.")</f>
        <v>руб.</v>
      </c>
      <c r="J6" s="20"/>
      <c r="K6" s="20"/>
      <c r="L6" s="122" t="s">
        <v>135</v>
      </c>
    </row>
    <row r="7" spans="1:12" ht="4.05" customHeight="1">
      <c r="A7" s="19"/>
      <c r="B7" s="19"/>
      <c r="C7" s="44"/>
      <c r="D7" s="45"/>
      <c r="E7" s="44"/>
      <c r="F7" s="19"/>
      <c r="G7" s="19"/>
      <c r="H7" s="46"/>
      <c r="I7" s="47"/>
      <c r="J7" s="19"/>
      <c r="K7" s="19"/>
    </row>
    <row r="8" spans="1:12">
      <c r="A8" s="19"/>
      <c r="B8" s="19"/>
      <c r="C8" s="19"/>
      <c r="D8" s="32"/>
      <c r="E8" s="21"/>
      <c r="F8" s="19"/>
      <c r="G8" s="19"/>
      <c r="H8" s="20" t="s">
        <v>3</v>
      </c>
      <c r="I8" s="36">
        <f>SUMIFS(ежемесячно!$J:$J,ежемесячно!$E:$E,$H8,ежемесячно!$C:$C,IF($E$8=1,$C$8,IF($E$9=1,$C$9,IF($E$10=1,$C$10,$C$11))))</f>
        <v>2543545000</v>
      </c>
      <c r="J8" s="19"/>
      <c r="K8" s="19"/>
    </row>
    <row r="9" spans="1:12">
      <c r="A9" s="19"/>
      <c r="B9" s="19"/>
      <c r="C9" s="19" t="s">
        <v>8</v>
      </c>
      <c r="D9" s="32" t="s">
        <v>61</v>
      </c>
      <c r="E9" s="21">
        <v>1</v>
      </c>
      <c r="F9" s="19"/>
      <c r="G9" s="19"/>
      <c r="H9" s="20" t="s">
        <v>26</v>
      </c>
      <c r="I9" s="36">
        <f>SUMIFS(ежемесячно!$J:$J,ежемесячно!$E:$E,$H9,ежемесячно!$C:$C,IF($E$8=1,$C$8,IF($E$9=1,$C$9,IF($E$10=1,$C$10,$C$11))))</f>
        <v>1792908777.7777777</v>
      </c>
      <c r="J9" s="19"/>
      <c r="K9" s="19"/>
    </row>
    <row r="10" spans="1:12">
      <c r="A10" s="19"/>
      <c r="B10" s="19"/>
      <c r="C10" s="19" t="s">
        <v>9</v>
      </c>
      <c r="D10" s="32" t="s">
        <v>61</v>
      </c>
      <c r="E10" s="21">
        <v>0</v>
      </c>
      <c r="F10" s="19"/>
      <c r="G10" s="19"/>
      <c r="H10" s="20" t="s">
        <v>1</v>
      </c>
      <c r="I10" s="36">
        <f>SUMIFS(ежемесячно!$J:$J,ежемесячно!$E:$E,$H10,ежемесячно!$C:$C,IF($E$8=1,$C$8,IF($E$9=1,$C$9,IF($E$10=1,$C$10,$C$11))))</f>
        <v>750636222.22222233</v>
      </c>
      <c r="J10" s="19"/>
      <c r="K10" s="19"/>
    </row>
    <row r="11" spans="1:12">
      <c r="A11" s="19"/>
      <c r="B11" s="19"/>
      <c r="C11" s="19" t="s">
        <v>10</v>
      </c>
      <c r="D11" s="32" t="s">
        <v>61</v>
      </c>
      <c r="E11" s="21">
        <v>0</v>
      </c>
      <c r="F11" s="19"/>
      <c r="G11" s="19"/>
      <c r="H11" s="22" t="s">
        <v>45</v>
      </c>
      <c r="I11" s="38">
        <f>IF(I8=0,0,I10/I8)</f>
        <v>0.29511418992871064</v>
      </c>
      <c r="J11" s="19"/>
      <c r="K11" s="19"/>
    </row>
    <row r="12" spans="1:12" ht="4.95" customHeight="1">
      <c r="A12" s="19"/>
      <c r="B12" s="19"/>
      <c r="C12" s="19"/>
      <c r="D12" s="32"/>
      <c r="E12" s="19"/>
      <c r="F12" s="19"/>
      <c r="G12" s="19"/>
      <c r="H12" s="20"/>
      <c r="I12" s="36"/>
      <c r="J12" s="19"/>
      <c r="K12" s="19"/>
    </row>
    <row r="13" spans="1:12" s="3" customFormat="1">
      <c r="A13" s="20"/>
      <c r="B13" s="20"/>
      <c r="C13" s="20" t="s">
        <v>74</v>
      </c>
      <c r="D13" s="32" t="s">
        <v>61</v>
      </c>
      <c r="E13" s="23">
        <v>300000000</v>
      </c>
      <c r="F13" s="20"/>
      <c r="G13" s="20"/>
      <c r="H13" s="20" t="s">
        <v>0</v>
      </c>
      <c r="I13" s="36">
        <f>SUMIFS(ежемесячно!$J:$J,ежемесячно!$E:$E,$H13,ежемесячно!$C:$C,IF($E$8=1,$C$8,IF($E$9=1,$C$9,IF($E$10=1,$C$10,$C$11))))</f>
        <v>214487288.9666667</v>
      </c>
      <c r="J13" s="20"/>
      <c r="K13" s="20"/>
    </row>
    <row r="14" spans="1:12" ht="4.05" customHeight="1">
      <c r="A14" s="19"/>
      <c r="B14" s="19"/>
      <c r="C14" s="80"/>
      <c r="D14" s="81"/>
      <c r="E14" s="80"/>
      <c r="F14" s="19"/>
      <c r="G14" s="19"/>
      <c r="H14" s="20"/>
      <c r="I14" s="36"/>
      <c r="J14" s="19"/>
      <c r="K14" s="19"/>
    </row>
    <row r="15" spans="1:12" s="3" customFormat="1">
      <c r="A15" s="20"/>
      <c r="B15" s="20"/>
      <c r="C15" s="20" t="s">
        <v>109</v>
      </c>
      <c r="D15" s="32" t="s">
        <v>61</v>
      </c>
      <c r="E15" s="24">
        <v>44805</v>
      </c>
      <c r="F15" s="20" t="s">
        <v>112</v>
      </c>
      <c r="G15" s="20"/>
      <c r="H15" s="20" t="s">
        <v>43</v>
      </c>
      <c r="I15" s="36">
        <f>SUMIFS(ежемесячно!$J:$J,ежемесячно!$E:$E,$H15,ежемесячно!$C:$C,IF($E$8=1,$C$8,IF($E$9=1,$C$9,IF($E$10=1,$C$10,$C$11))))</f>
        <v>13446815.833333332</v>
      </c>
      <c r="J15" s="20"/>
      <c r="K15" s="20"/>
    </row>
    <row r="16" spans="1:12">
      <c r="A16" s="19"/>
      <c r="B16" s="19"/>
      <c r="C16" s="19" t="s">
        <v>126</v>
      </c>
      <c r="D16" s="32" t="s">
        <v>61</v>
      </c>
      <c r="E16" s="25">
        <v>44896</v>
      </c>
      <c r="F16" s="20" t="s">
        <v>112</v>
      </c>
      <c r="G16" s="19"/>
      <c r="H16" s="20" t="s">
        <v>42</v>
      </c>
      <c r="I16" s="36">
        <f>SUMIFS(ежемесячно!$J:$J,ежемесячно!$E:$E,$H16,ежемесячно!$C:$C,IF($E$8=1,$C$8,IF($E$9=1,$C$9,IF($E$10=1,$C$10,$C$11))))</f>
        <v>181365554.52740452</v>
      </c>
      <c r="J16" s="19"/>
      <c r="K16" s="19"/>
    </row>
    <row r="17" spans="1:11">
      <c r="A17" s="19"/>
      <c r="B17" s="19"/>
      <c r="C17" s="19" t="s">
        <v>110</v>
      </c>
      <c r="D17" s="32" t="s">
        <v>61</v>
      </c>
      <c r="E17" s="25">
        <v>44927</v>
      </c>
      <c r="F17" s="20" t="s">
        <v>112</v>
      </c>
      <c r="G17" s="19"/>
      <c r="H17" s="22" t="s">
        <v>59</v>
      </c>
      <c r="I17" s="39">
        <f>I15-I16</f>
        <v>-167918738.69407117</v>
      </c>
      <c r="J17" s="19"/>
      <c r="K17" s="19"/>
    </row>
    <row r="18" spans="1:11">
      <c r="A18" s="19"/>
      <c r="B18" s="19"/>
      <c r="C18" s="19" t="s">
        <v>111</v>
      </c>
      <c r="D18" s="32" t="s">
        <v>61</v>
      </c>
      <c r="E18" s="25">
        <v>45352</v>
      </c>
      <c r="F18" s="20" t="s">
        <v>112</v>
      </c>
      <c r="G18" s="19"/>
      <c r="H18" s="20" t="s">
        <v>73</v>
      </c>
      <c r="I18" s="36">
        <f>SUMIFS(ежемесячно!$J:$J,ежемесячно!$E:$E,$H18,ежемесячно!$C:$C,IF($E$8=1,$C$8,IF($E$9=1,$C$9,IF($E$10=1,$C$10,$C$11))))</f>
        <v>-144567654.62962961</v>
      </c>
      <c r="J18" s="19"/>
      <c r="K18" s="19"/>
    </row>
    <row r="19" spans="1:11">
      <c r="A19" s="19"/>
      <c r="B19" s="19"/>
      <c r="C19" s="20" t="s">
        <v>117</v>
      </c>
      <c r="D19" s="32" t="s">
        <v>61</v>
      </c>
      <c r="E19" s="24">
        <v>45566</v>
      </c>
      <c r="F19" s="20" t="s">
        <v>112</v>
      </c>
      <c r="G19" s="19"/>
      <c r="H19" s="20" t="s">
        <v>31</v>
      </c>
      <c r="I19" s="36">
        <f>SUMIFS(ежемесячно!$J:$J,ежемесячно!$E:$E,$H19,ежемесячно!$C:$C,IF($E$8=1,$C$8,IF($E$9=1,$C$9,IF($E$10=1,$C$10,$C$11))))</f>
        <v>104036570.61071675</v>
      </c>
      <c r="J19" s="19"/>
      <c r="K19" s="19"/>
    </row>
    <row r="20" spans="1:11" ht="4.05" customHeight="1">
      <c r="A20" s="19"/>
      <c r="B20" s="19"/>
      <c r="C20" s="80"/>
      <c r="D20" s="81"/>
      <c r="E20" s="80"/>
      <c r="F20" s="19"/>
      <c r="G20" s="19"/>
      <c r="H20" s="20"/>
      <c r="I20" s="36"/>
      <c r="J20" s="19"/>
      <c r="K20" s="19"/>
    </row>
    <row r="21" spans="1:11">
      <c r="A21" s="19"/>
      <c r="B21" s="19"/>
      <c r="C21" s="19" t="s">
        <v>75</v>
      </c>
      <c r="D21" s="32" t="s">
        <v>61</v>
      </c>
      <c r="E21" s="26">
        <v>35000</v>
      </c>
      <c r="F21" s="19"/>
      <c r="G21" s="19"/>
      <c r="H21" s="29" t="s">
        <v>2</v>
      </c>
      <c r="I21" s="41">
        <f>SUMIFS(ежемесячно!$J:$J,ежемесячно!$E:$E,$H21,ежемесячно!$C:$C,IF($E$8=1,$C$8,IF($E$9=1,$C$9,IF($E$10=1,$C$10,$C$11))))</f>
        <v>408761278.58039737</v>
      </c>
      <c r="J21" s="19"/>
      <c r="K21" s="19"/>
    </row>
    <row r="22" spans="1:11" s="3" customFormat="1">
      <c r="A22" s="20"/>
      <c r="B22" s="20"/>
      <c r="C22" s="20" t="s">
        <v>76</v>
      </c>
      <c r="D22" s="32" t="s">
        <v>61</v>
      </c>
      <c r="E22" s="23">
        <v>22000</v>
      </c>
      <c r="F22" s="20"/>
      <c r="G22" s="20"/>
      <c r="H22" s="49" t="s">
        <v>58</v>
      </c>
      <c r="I22" s="50">
        <f>IF(I8=0,0,I21/I8)</f>
        <v>0.16070534572040102</v>
      </c>
      <c r="J22" s="20"/>
      <c r="K22" s="20"/>
    </row>
    <row r="23" spans="1:11">
      <c r="A23" s="19"/>
      <c r="B23" s="19"/>
      <c r="C23" s="19" t="s">
        <v>77</v>
      </c>
      <c r="D23" s="32" t="s">
        <v>61</v>
      </c>
      <c r="E23" s="27">
        <v>0.6</v>
      </c>
      <c r="F23" s="19"/>
      <c r="G23" s="19"/>
      <c r="H23" s="20" t="s">
        <v>46</v>
      </c>
      <c r="I23" s="36"/>
      <c r="J23" s="19"/>
      <c r="K23" s="19"/>
    </row>
    <row r="24" spans="1:11">
      <c r="A24" s="19"/>
      <c r="B24" s="19"/>
      <c r="C24" s="19" t="s">
        <v>78</v>
      </c>
      <c r="D24" s="32" t="s">
        <v>61</v>
      </c>
      <c r="E24" s="27">
        <v>0.35</v>
      </c>
      <c r="F24" s="19"/>
      <c r="G24" s="19"/>
      <c r="H24" s="19" t="s">
        <v>20</v>
      </c>
      <c r="I24" s="40">
        <f>SUMIFS(ежемесячно!$J:$J,ежемесячно!$E:$E,$H24,ежемесячно!$C:$C,IF($E$8=1,$C$8,IF($E$9=1,$C$9,IF($E$10=1,$C$10,$C$11))))</f>
        <v>4277777.7777777826</v>
      </c>
      <c r="J24" s="19"/>
      <c r="K24" s="19"/>
    </row>
    <row r="25" spans="1:11">
      <c r="A25" s="19"/>
      <c r="B25" s="19"/>
      <c r="C25" s="19" t="s">
        <v>79</v>
      </c>
      <c r="D25" s="32"/>
      <c r="E25" s="28">
        <f>100%-E23-E24</f>
        <v>5.0000000000000044E-2</v>
      </c>
      <c r="F25" s="20" t="str">
        <f>IF(E25&lt;0,"Ошибка!","")</f>
        <v/>
      </c>
      <c r="G25" s="19"/>
      <c r="H25" s="19" t="s">
        <v>23</v>
      </c>
      <c r="I25" s="40">
        <f>SUMIFS(ежемесячно!$J:$J,ежемесячно!$E:$E,$H25,ежемесячно!$C:$C,IF($E$8=1,$C$8,IF($E$9=1,$C$9,IF($E$10=1,$C$10,$C$11))))</f>
        <v>14000000</v>
      </c>
      <c r="J25" s="19"/>
      <c r="K25" s="19"/>
    </row>
    <row r="26" spans="1:11" s="3" customFormat="1">
      <c r="A26" s="20"/>
      <c r="B26" s="20"/>
      <c r="C26" s="20" t="s">
        <v>80</v>
      </c>
      <c r="D26" s="32" t="s">
        <v>61</v>
      </c>
      <c r="E26" s="23">
        <v>12000</v>
      </c>
      <c r="F26" s="20"/>
      <c r="G26" s="20"/>
      <c r="H26" s="29" t="s">
        <v>47</v>
      </c>
      <c r="I26" s="41">
        <f>I24+I25</f>
        <v>18277777.777777784</v>
      </c>
      <c r="J26" s="20"/>
      <c r="K26" s="20"/>
    </row>
    <row r="27" spans="1:11">
      <c r="A27" s="19"/>
      <c r="B27" s="19"/>
      <c r="C27" s="19" t="s">
        <v>81</v>
      </c>
      <c r="D27" s="32" t="s">
        <v>61</v>
      </c>
      <c r="E27" s="27">
        <v>0.2</v>
      </c>
      <c r="F27" s="19"/>
      <c r="G27" s="19"/>
      <c r="H27" s="30" t="s">
        <v>48</v>
      </c>
      <c r="I27" s="42">
        <f>I26/E31*(1-E31)</f>
        <v>164500000.00000003</v>
      </c>
      <c r="J27" s="19"/>
      <c r="K27" s="19"/>
    </row>
    <row r="28" spans="1:11">
      <c r="A28" s="19"/>
      <c r="B28" s="19"/>
      <c r="C28" s="19" t="s">
        <v>82</v>
      </c>
      <c r="D28" s="32" t="s">
        <v>61</v>
      </c>
      <c r="E28" s="27">
        <v>0.5</v>
      </c>
      <c r="F28" s="19"/>
      <c r="G28" s="19"/>
      <c r="H28" s="20" t="s">
        <v>21</v>
      </c>
      <c r="I28" s="36">
        <f>SUMIFS(ежемесячно!$J:$J,ежемесячно!$E:$E,$H28,ежемесячно!$C:$C,IF($E$8=1,$C$8,IF($E$9=1,$C$9,IF($E$10=1,$C$10,$C$11))))</f>
        <v>10920000</v>
      </c>
      <c r="J28" s="19"/>
      <c r="K28" s="19"/>
    </row>
    <row r="29" spans="1:11">
      <c r="A29" s="19"/>
      <c r="B29" s="19"/>
      <c r="C29" s="19" t="s">
        <v>83</v>
      </c>
      <c r="D29" s="32"/>
      <c r="E29" s="28">
        <f>100%-E27-E28</f>
        <v>0.30000000000000004</v>
      </c>
      <c r="F29" s="20" t="str">
        <f>IF(E29&lt;0,"Ошибка!","")</f>
        <v/>
      </c>
      <c r="G29" s="19"/>
      <c r="H29" s="20" t="s">
        <v>22</v>
      </c>
      <c r="I29" s="36">
        <f>SUMIFS(ежемесячно!$J:$J,ежемесячно!$E:$E,$H29,ежемесячно!$C:$C,IF($E$8=1,$C$8,IF($E$9=1,$C$9,IF($E$10=1,$C$10,$C$11))))</f>
        <v>28476000</v>
      </c>
      <c r="J29" s="19"/>
      <c r="K29" s="19"/>
    </row>
    <row r="30" spans="1:11" ht="4.95" customHeight="1">
      <c r="A30" s="19"/>
      <c r="B30" s="19"/>
      <c r="C30" s="19"/>
      <c r="D30" s="32"/>
      <c r="E30" s="19"/>
      <c r="F30" s="19"/>
      <c r="G30" s="19"/>
      <c r="H30" s="20"/>
      <c r="I30" s="36"/>
      <c r="J30" s="19"/>
      <c r="K30" s="19"/>
    </row>
    <row r="31" spans="1:11">
      <c r="A31" s="19"/>
      <c r="B31" s="19"/>
      <c r="C31" s="19" t="s">
        <v>84</v>
      </c>
      <c r="D31" s="32" t="s">
        <v>61</v>
      </c>
      <c r="E31" s="27">
        <v>0.1</v>
      </c>
      <c r="F31" s="19"/>
      <c r="G31" s="19"/>
      <c r="H31" s="78" t="s">
        <v>39</v>
      </c>
      <c r="I31" s="79">
        <f>SUMIFS(ежемесячно!$J:$J,ежемесячно!$E:$E,$H31,ежемесячно!$C:$C,IF($E$8=1,$C$8,IF($E$9=1,$C$9,IF($E$10=1,$C$10,$C$11))))</f>
        <v>-985025996.46625185</v>
      </c>
      <c r="J31" s="19"/>
      <c r="K31" s="19"/>
    </row>
    <row r="32" spans="1:11" ht="4.05" customHeight="1">
      <c r="A32" s="19"/>
      <c r="B32" s="19"/>
      <c r="C32" s="80"/>
      <c r="D32" s="81"/>
      <c r="E32" s="80"/>
      <c r="F32" s="19"/>
      <c r="G32" s="19"/>
      <c r="H32" s="20"/>
      <c r="I32" s="36"/>
      <c r="J32" s="19"/>
      <c r="K32" s="19"/>
    </row>
    <row r="33" spans="1:11">
      <c r="A33" s="19"/>
      <c r="B33" s="19"/>
      <c r="C33" s="19" t="s">
        <v>85</v>
      </c>
      <c r="D33" s="32" t="s">
        <v>61</v>
      </c>
      <c r="E33" s="26">
        <v>19850</v>
      </c>
      <c r="F33" s="19"/>
      <c r="G33" s="19"/>
      <c r="H33" s="118" t="s">
        <v>70</v>
      </c>
      <c r="I33" s="119">
        <f>SUMIFS(ежемесячно!$J:$J,ежемесячно!$E:$E,$H33,ежемесячно!$C:$C,IF($E$8=1,$C$8,IF($E$9=1,$C$9,IF($E$10=1,$C$10,$C$11))))</f>
        <v>985025996.46625185</v>
      </c>
      <c r="J33" s="19"/>
      <c r="K33" s="19"/>
    </row>
    <row r="34" spans="1:11" s="3" customFormat="1">
      <c r="A34" s="20"/>
      <c r="B34" s="20"/>
      <c r="C34" s="20" t="s">
        <v>86</v>
      </c>
      <c r="D34" s="32" t="s">
        <v>61</v>
      </c>
      <c r="E34" s="23">
        <v>75000</v>
      </c>
      <c r="F34" s="20"/>
      <c r="G34" s="20"/>
      <c r="H34" s="120" t="s">
        <v>55</v>
      </c>
      <c r="I34" s="121">
        <f>SUMIFS(ежемесячно!$J:$J,ежемесячно!$E:$E,$H34,ежемесячно!$C:$C,IF($E$8=1,$C$8,IF($E$9=1,$C$9,IF($E$10=1,$C$10,$C$11))))</f>
        <v>181365554.52740452</v>
      </c>
      <c r="J34" s="20"/>
      <c r="K34" s="20"/>
    </row>
    <row r="35" spans="1:11" s="3" customFormat="1">
      <c r="A35" s="20"/>
      <c r="B35" s="20"/>
      <c r="C35" s="20" t="s">
        <v>87</v>
      </c>
      <c r="D35" s="32" t="s">
        <v>61</v>
      </c>
      <c r="E35" s="23">
        <v>130000</v>
      </c>
      <c r="F35" s="20"/>
      <c r="G35" s="20"/>
      <c r="H35" s="86" t="s">
        <v>56</v>
      </c>
      <c r="I35" s="87">
        <f>SUMIFS(ежемесячно!$J:$J,ежемесячно!$E:$E,$H35,ежемесячно!$C:$C,IF($E$8=1,$C$8,IF($E$9=1,$C$9,IF($E$10=1,$C$10,$C$11))))</f>
        <v>699633882.09556675</v>
      </c>
      <c r="J35" s="20"/>
      <c r="K35" s="20"/>
    </row>
    <row r="36" spans="1:11" ht="4.95" customHeight="1">
      <c r="A36" s="19"/>
      <c r="B36" s="19"/>
      <c r="C36" s="19"/>
      <c r="D36" s="32"/>
      <c r="E36" s="19"/>
      <c r="F36" s="19"/>
      <c r="G36" s="19"/>
      <c r="H36" s="20"/>
      <c r="I36" s="36"/>
      <c r="J36" s="19"/>
      <c r="K36" s="19"/>
    </row>
    <row r="37" spans="1:11" s="3" customFormat="1">
      <c r="A37" s="20"/>
      <c r="B37" s="20"/>
      <c r="C37" s="20" t="s">
        <v>88</v>
      </c>
      <c r="D37" s="32" t="s">
        <v>61</v>
      </c>
      <c r="E37" s="31">
        <v>0</v>
      </c>
      <c r="F37" s="20"/>
      <c r="G37" s="20"/>
      <c r="H37" s="76" t="s">
        <v>71</v>
      </c>
      <c r="I37" s="77">
        <f>I35-E13</f>
        <v>399633882.09556675</v>
      </c>
      <c r="J37" s="20"/>
      <c r="K37" s="20"/>
    </row>
    <row r="38" spans="1:11" ht="4.95" customHeight="1">
      <c r="A38" s="19"/>
      <c r="B38" s="19"/>
      <c r="C38" s="19"/>
      <c r="D38" s="32"/>
      <c r="E38" s="19"/>
      <c r="F38" s="19"/>
      <c r="G38" s="19"/>
      <c r="H38" s="20"/>
      <c r="I38" s="36"/>
      <c r="J38" s="19"/>
      <c r="K38" s="19"/>
    </row>
    <row r="39" spans="1:11">
      <c r="A39" s="19"/>
      <c r="B39" s="19"/>
      <c r="C39" s="19" t="s">
        <v>89</v>
      </c>
      <c r="D39" s="32" t="s">
        <v>61</v>
      </c>
      <c r="E39" s="26">
        <v>278</v>
      </c>
      <c r="F39" s="19"/>
      <c r="G39" s="19"/>
      <c r="H39" s="29" t="s">
        <v>132</v>
      </c>
      <c r="I39" s="41">
        <f>SUMIFS(ежемесячно!$J:$J,ежемесячно!$E:$E,$H39,ежемесячно!$C:$C,IF($E$8=1,$C$8,IF($E$9=1,$C$9,IF($E$10=1,$C$10,$C$11))))</f>
        <v>412270265.3990463</v>
      </c>
      <c r="J39" s="19"/>
      <c r="K39" s="19"/>
    </row>
    <row r="40" spans="1:11" s="3" customFormat="1">
      <c r="A40" s="20"/>
      <c r="B40" s="20"/>
      <c r="C40" s="20" t="s">
        <v>90</v>
      </c>
      <c r="D40" s="32" t="s">
        <v>61</v>
      </c>
      <c r="E40" s="23">
        <v>400000</v>
      </c>
      <c r="F40" s="20"/>
      <c r="G40" s="20"/>
      <c r="H40" s="109" t="s">
        <v>131</v>
      </c>
      <c r="I40" s="115">
        <f>SUMIFS(ежемесячно!$J:$J,ежемесячно!$E:$E,$H40,ежемесячно!$C:$C,IF($E$8=1,$C$8,IF($E$9=1,$C$9,IF($E$10=1,$C$10,$C$11))))</f>
        <v>112270265.3990463</v>
      </c>
      <c r="J40" s="20"/>
      <c r="K40" s="20"/>
    </row>
    <row r="41" spans="1:11" s="3" customFormat="1">
      <c r="A41" s="20"/>
      <c r="B41" s="20"/>
      <c r="C41" s="20" t="s">
        <v>91</v>
      </c>
      <c r="D41" s="32" t="s">
        <v>61</v>
      </c>
      <c r="E41" s="23">
        <v>800000</v>
      </c>
      <c r="F41" s="20"/>
      <c r="G41" s="20"/>
      <c r="H41" s="116" t="s">
        <v>133</v>
      </c>
      <c r="I41" s="117">
        <f>SUMIFS(ежемесячно!$J:$J,ежемесячно!$E:$E,$H41,ежемесячно!$C:$C,IF($E$8=1,$C$8,IF($E$9=1,$C$9,IF($E$10=1,$C$10,$C$11))))</f>
        <v>45901</v>
      </c>
      <c r="J41" s="20"/>
      <c r="K41" s="20"/>
    </row>
    <row r="42" spans="1:11" ht="4.95" customHeight="1">
      <c r="A42" s="19"/>
      <c r="B42" s="19"/>
      <c r="C42" s="19"/>
      <c r="D42" s="32"/>
      <c r="E42" s="19"/>
      <c r="F42" s="19"/>
      <c r="G42" s="19"/>
      <c r="H42" s="20"/>
      <c r="I42" s="36"/>
      <c r="J42" s="19"/>
      <c r="K42" s="19"/>
    </row>
    <row r="43" spans="1:11" s="3" customFormat="1">
      <c r="A43" s="20"/>
      <c r="B43" s="20"/>
      <c r="C43" s="20" t="s">
        <v>92</v>
      </c>
      <c r="D43" s="32" t="s">
        <v>61</v>
      </c>
      <c r="E43" s="31">
        <v>0.2</v>
      </c>
      <c r="F43" s="20"/>
      <c r="G43" s="20"/>
      <c r="H43" s="113" t="s">
        <v>134</v>
      </c>
      <c r="I43" s="114">
        <f>SUMIFS(ежемесячно!$J:$J,ежемесячно!$E:$E,$H43,ежемесячно!$C:$C,IF($E$8=1,$C$8,IF($E$9=1,$C$9,IF($E$10=1,$C$10,$C$11))))</f>
        <v>3.0821917808219177</v>
      </c>
      <c r="J43" s="20"/>
      <c r="K43" s="20"/>
    </row>
    <row r="44" spans="1:11" ht="4.95" customHeight="1">
      <c r="A44" s="19"/>
      <c r="B44" s="19"/>
      <c r="C44" s="19"/>
      <c r="D44" s="32"/>
      <c r="E44" s="19"/>
      <c r="F44" s="19"/>
      <c r="G44" s="19"/>
      <c r="H44" s="20"/>
      <c r="I44" s="36"/>
      <c r="J44" s="19"/>
      <c r="K44" s="19"/>
    </row>
    <row r="45" spans="1:11">
      <c r="A45" s="19"/>
      <c r="B45" s="19"/>
      <c r="C45" s="19" t="s">
        <v>93</v>
      </c>
      <c r="D45" s="32" t="s">
        <v>61</v>
      </c>
      <c r="E45" s="26">
        <v>1800</v>
      </c>
      <c r="F45" s="19"/>
      <c r="G45" s="19"/>
      <c r="H45" s="20"/>
      <c r="I45" s="36"/>
      <c r="J45" s="19"/>
      <c r="K45" s="19"/>
    </row>
    <row r="46" spans="1:11">
      <c r="A46" s="19"/>
      <c r="B46" s="19"/>
      <c r="C46" s="19" t="s">
        <v>94</v>
      </c>
      <c r="D46" s="32" t="s">
        <v>61</v>
      </c>
      <c r="E46" s="27">
        <v>0.7</v>
      </c>
      <c r="F46" s="19"/>
      <c r="G46" s="19"/>
      <c r="H46" s="20"/>
      <c r="I46" s="36"/>
      <c r="J46" s="19"/>
      <c r="K46" s="19"/>
    </row>
    <row r="47" spans="1:11" s="3" customFormat="1">
      <c r="A47" s="20"/>
      <c r="B47" s="20"/>
      <c r="C47" s="20" t="s">
        <v>95</v>
      </c>
      <c r="D47" s="32" t="s">
        <v>61</v>
      </c>
      <c r="E47" s="23">
        <v>100000</v>
      </c>
      <c r="F47" s="20"/>
      <c r="G47" s="20"/>
      <c r="H47" s="20"/>
      <c r="I47" s="36"/>
      <c r="J47" s="20"/>
      <c r="K47" s="20"/>
    </row>
    <row r="48" spans="1:11" s="3" customFormat="1">
      <c r="A48" s="20"/>
      <c r="B48" s="20"/>
      <c r="C48" s="20" t="s">
        <v>96</v>
      </c>
      <c r="D48" s="32" t="s">
        <v>61</v>
      </c>
      <c r="E48" s="23">
        <v>150000</v>
      </c>
      <c r="F48" s="20"/>
      <c r="G48" s="20"/>
      <c r="H48" s="20"/>
      <c r="I48" s="36"/>
      <c r="J48" s="20"/>
      <c r="K48" s="20"/>
    </row>
    <row r="49" spans="1:11">
      <c r="A49" s="19"/>
      <c r="B49" s="19"/>
      <c r="C49" s="19" t="s">
        <v>97</v>
      </c>
      <c r="D49" s="32"/>
      <c r="E49" s="28">
        <f>100%-E46</f>
        <v>0.30000000000000004</v>
      </c>
      <c r="F49" s="20" t="str">
        <f>IF(E49&lt;0,"Ошибка!","")</f>
        <v/>
      </c>
      <c r="G49" s="19"/>
      <c r="H49" s="20"/>
      <c r="I49" s="36"/>
      <c r="J49" s="19"/>
      <c r="K49" s="19"/>
    </row>
    <row r="50" spans="1:11" s="3" customFormat="1">
      <c r="A50" s="20"/>
      <c r="B50" s="20"/>
      <c r="C50" s="20" t="s">
        <v>98</v>
      </c>
      <c r="D50" s="32" t="s">
        <v>61</v>
      </c>
      <c r="E50" s="23">
        <v>1000</v>
      </c>
      <c r="F50" s="20"/>
      <c r="G50" s="20"/>
      <c r="H50" s="20"/>
      <c r="I50" s="36"/>
      <c r="J50" s="20"/>
      <c r="K50" s="20"/>
    </row>
    <row r="51" spans="1:11" ht="4.95" customHeight="1">
      <c r="A51" s="19"/>
      <c r="B51" s="19"/>
      <c r="C51" s="19"/>
      <c r="D51" s="32"/>
      <c r="E51" s="19"/>
      <c r="F51" s="19"/>
      <c r="G51" s="19"/>
      <c r="H51" s="20"/>
      <c r="I51" s="36"/>
      <c r="J51" s="19"/>
      <c r="K51" s="19"/>
    </row>
    <row r="52" spans="1:11" s="3" customFormat="1">
      <c r="A52" s="20"/>
      <c r="B52" s="20"/>
      <c r="C52" s="20" t="s">
        <v>99</v>
      </c>
      <c r="D52" s="32" t="s">
        <v>61</v>
      </c>
      <c r="E52" s="31">
        <v>0.2</v>
      </c>
      <c r="F52" s="20"/>
      <c r="G52" s="20"/>
      <c r="H52" s="20"/>
      <c r="I52" s="36"/>
      <c r="J52" s="20"/>
      <c r="K52" s="20"/>
    </row>
    <row r="53" spans="1:11" ht="4.95" customHeight="1">
      <c r="A53" s="19"/>
      <c r="B53" s="19"/>
      <c r="C53" s="19"/>
      <c r="D53" s="32"/>
      <c r="E53" s="19"/>
      <c r="F53" s="19"/>
      <c r="G53" s="19"/>
      <c r="H53" s="20"/>
      <c r="I53" s="36"/>
      <c r="J53" s="19"/>
      <c r="K53" s="19"/>
    </row>
    <row r="54" spans="1:11" s="3" customFormat="1">
      <c r="A54" s="20"/>
      <c r="B54" s="20"/>
      <c r="C54" s="20" t="s">
        <v>100</v>
      </c>
      <c r="D54" s="32" t="s">
        <v>61</v>
      </c>
      <c r="E54" s="31">
        <v>0.2</v>
      </c>
      <c r="F54" s="20"/>
      <c r="G54" s="20"/>
      <c r="H54" s="20"/>
      <c r="I54" s="36"/>
      <c r="J54" s="20"/>
      <c r="K54" s="20"/>
    </row>
    <row r="55" spans="1:11" ht="4.05" customHeight="1">
      <c r="A55" s="19"/>
      <c r="B55" s="19"/>
      <c r="C55" s="80"/>
      <c r="D55" s="81"/>
      <c r="E55" s="80"/>
      <c r="F55" s="19"/>
      <c r="G55" s="19"/>
      <c r="H55" s="20"/>
      <c r="I55" s="36"/>
      <c r="J55" s="19"/>
      <c r="K55" s="19"/>
    </row>
    <row r="56" spans="1:11">
      <c r="A56" s="19"/>
      <c r="B56" s="19"/>
      <c r="C56" s="19" t="s">
        <v>104</v>
      </c>
      <c r="D56" s="51" t="s">
        <v>61</v>
      </c>
      <c r="E56" s="27">
        <v>0.2</v>
      </c>
      <c r="F56" s="19"/>
      <c r="G56" s="19"/>
      <c r="H56" s="19"/>
      <c r="I56" s="40"/>
      <c r="J56" s="19"/>
      <c r="K56" s="19"/>
    </row>
    <row r="57" spans="1:11" ht="4.95" customHeight="1">
      <c r="A57" s="19"/>
      <c r="B57" s="19"/>
      <c r="C57" s="19"/>
      <c r="D57" s="51"/>
      <c r="E57" s="19"/>
      <c r="F57" s="19"/>
      <c r="G57" s="19"/>
      <c r="H57" s="19"/>
      <c r="I57" s="40"/>
      <c r="J57" s="19"/>
      <c r="K57" s="19"/>
    </row>
    <row r="58" spans="1:11">
      <c r="A58" s="19"/>
      <c r="B58" s="19"/>
      <c r="C58" s="19" t="s">
        <v>105</v>
      </c>
      <c r="D58" s="51" t="s">
        <v>61</v>
      </c>
      <c r="E58" s="27">
        <v>0.13</v>
      </c>
      <c r="F58" s="19"/>
      <c r="G58" s="19"/>
      <c r="H58" s="19"/>
      <c r="I58" s="40"/>
      <c r="J58" s="19"/>
      <c r="K58" s="19"/>
    </row>
    <row r="59" spans="1:11" ht="4.95" customHeight="1">
      <c r="A59" s="19"/>
      <c r="B59" s="19"/>
      <c r="C59" s="19"/>
      <c r="D59" s="51"/>
      <c r="E59" s="19"/>
      <c r="F59" s="19"/>
      <c r="G59" s="19"/>
      <c r="H59" s="19"/>
      <c r="I59" s="40"/>
      <c r="J59" s="19"/>
      <c r="K59" s="19"/>
    </row>
    <row r="60" spans="1:11">
      <c r="A60" s="19"/>
      <c r="B60" s="19"/>
      <c r="C60" s="19" t="s">
        <v>106</v>
      </c>
      <c r="D60" s="51" t="s">
        <v>61</v>
      </c>
      <c r="E60" s="27">
        <v>0.3</v>
      </c>
      <c r="F60" s="19"/>
      <c r="G60" s="19"/>
      <c r="H60" s="19"/>
      <c r="I60" s="40"/>
      <c r="J60" s="19"/>
      <c r="K60" s="19"/>
    </row>
    <row r="61" spans="1:11" ht="4.05" customHeight="1">
      <c r="A61" s="19"/>
      <c r="B61" s="19"/>
      <c r="C61" s="80"/>
      <c r="D61" s="81"/>
      <c r="E61" s="80"/>
      <c r="F61" s="19"/>
      <c r="G61" s="19"/>
      <c r="H61" s="20"/>
      <c r="I61" s="36"/>
      <c r="J61" s="19"/>
      <c r="K61" s="19"/>
    </row>
    <row r="62" spans="1:11">
      <c r="A62" s="19"/>
      <c r="B62" s="19"/>
      <c r="C62" s="20" t="s">
        <v>102</v>
      </c>
      <c r="D62" s="32" t="s">
        <v>61</v>
      </c>
      <c r="E62" s="31">
        <v>0.02</v>
      </c>
      <c r="F62" s="19"/>
      <c r="G62" s="19"/>
      <c r="H62" s="20"/>
      <c r="I62" s="36"/>
      <c r="J62" s="19"/>
      <c r="K62" s="19"/>
    </row>
    <row r="63" spans="1:11" ht="4.05" customHeight="1">
      <c r="A63" s="19"/>
      <c r="B63" s="19"/>
      <c r="C63" s="80"/>
      <c r="D63" s="81"/>
      <c r="E63" s="80"/>
      <c r="F63" s="19"/>
      <c r="G63" s="19"/>
      <c r="H63" s="20"/>
      <c r="I63" s="36"/>
      <c r="J63" s="19"/>
      <c r="K63" s="19"/>
    </row>
    <row r="64" spans="1:11" s="3" customFormat="1">
      <c r="A64" s="20"/>
      <c r="B64" s="20"/>
      <c r="C64" s="20" t="s">
        <v>107</v>
      </c>
      <c r="D64" s="32" t="s">
        <v>61</v>
      </c>
      <c r="E64" s="31">
        <v>0.1</v>
      </c>
      <c r="F64" s="20"/>
      <c r="G64" s="20"/>
      <c r="H64" s="20"/>
      <c r="I64" s="36"/>
      <c r="J64" s="20"/>
      <c r="K64" s="20"/>
    </row>
    <row r="65" spans="1:11" ht="4.95" customHeight="1">
      <c r="A65" s="19"/>
      <c r="B65" s="19"/>
      <c r="C65" s="19"/>
      <c r="D65" s="32"/>
      <c r="E65" s="19"/>
      <c r="F65" s="19"/>
      <c r="G65" s="19"/>
      <c r="H65" s="20"/>
      <c r="I65" s="36"/>
      <c r="J65" s="19"/>
      <c r="K65" s="19"/>
    </row>
    <row r="66" spans="1:11" s="3" customFormat="1">
      <c r="A66" s="20"/>
      <c r="B66" s="20"/>
      <c r="C66" s="20" t="s">
        <v>108</v>
      </c>
      <c r="D66" s="32" t="s">
        <v>61</v>
      </c>
      <c r="E66" s="31">
        <v>0.05</v>
      </c>
      <c r="F66" s="20"/>
      <c r="G66" s="20"/>
      <c r="H66" s="20"/>
      <c r="I66" s="36"/>
      <c r="J66" s="20"/>
      <c r="K66" s="20"/>
    </row>
    <row r="67" spans="1:11" ht="4.95" customHeight="1">
      <c r="A67" s="19"/>
      <c r="B67" s="19"/>
      <c r="C67" s="19"/>
      <c r="D67" s="32"/>
      <c r="E67" s="19"/>
      <c r="F67" s="19"/>
      <c r="G67" s="19"/>
      <c r="H67" s="20"/>
      <c r="I67" s="36"/>
      <c r="J67" s="19"/>
      <c r="K67" s="19"/>
    </row>
    <row r="68" spans="1:11">
      <c r="A68" s="19"/>
      <c r="B68" s="19"/>
      <c r="C68" s="20" t="s">
        <v>103</v>
      </c>
      <c r="D68" s="32" t="s">
        <v>61</v>
      </c>
      <c r="E68" s="31">
        <v>0.06</v>
      </c>
      <c r="F68" s="19"/>
      <c r="G68" s="19"/>
      <c r="H68" s="20"/>
      <c r="I68" s="36"/>
      <c r="J68" s="19"/>
      <c r="K68" s="19"/>
    </row>
    <row r="69" spans="1:11" ht="4.05" customHeight="1">
      <c r="A69" s="19"/>
      <c r="B69" s="19"/>
      <c r="C69" s="80"/>
      <c r="D69" s="81"/>
      <c r="E69" s="80"/>
      <c r="F69" s="19"/>
      <c r="G69" s="19"/>
      <c r="H69" s="20"/>
      <c r="I69" s="36"/>
      <c r="J69" s="19"/>
      <c r="K69" s="19"/>
    </row>
    <row r="70" spans="1:11" s="3" customFormat="1">
      <c r="A70" s="20"/>
      <c r="B70" s="20"/>
      <c r="C70" s="20" t="s">
        <v>101</v>
      </c>
      <c r="D70" s="32" t="s">
        <v>61</v>
      </c>
      <c r="E70" s="31">
        <v>0.12</v>
      </c>
      <c r="F70" s="20"/>
      <c r="G70" s="20"/>
      <c r="H70" s="20"/>
      <c r="I70" s="36"/>
      <c r="J70" s="20"/>
      <c r="K70" s="20"/>
    </row>
    <row r="71" spans="1:11" ht="4.95" customHeight="1">
      <c r="A71" s="19"/>
      <c r="B71" s="19"/>
      <c r="C71" s="19"/>
      <c r="D71" s="32"/>
      <c r="E71" s="19"/>
      <c r="F71" s="19"/>
      <c r="G71" s="19"/>
      <c r="H71" s="20"/>
      <c r="I71" s="36"/>
      <c r="J71" s="19"/>
      <c r="K71" s="19"/>
    </row>
    <row r="72" spans="1:11">
      <c r="A72" s="19"/>
      <c r="B72" s="19"/>
      <c r="C72" s="20" t="s">
        <v>123</v>
      </c>
      <c r="D72" s="32"/>
      <c r="E72" s="20" t="str">
        <f>IF(SUM(E74:E75)&lt;&gt;1,"Ошибка!","")</f>
        <v/>
      </c>
      <c r="F72" s="19"/>
      <c r="G72" s="19"/>
      <c r="H72" s="20"/>
      <c r="I72" s="36"/>
      <c r="J72" s="19"/>
      <c r="K72" s="19"/>
    </row>
    <row r="73" spans="1:11" ht="4.05" customHeight="1">
      <c r="A73" s="19"/>
      <c r="B73" s="19"/>
      <c r="C73" s="44"/>
      <c r="D73" s="45"/>
      <c r="E73" s="44"/>
      <c r="F73" s="19"/>
      <c r="G73" s="19"/>
      <c r="H73" s="20"/>
      <c r="I73" s="36"/>
      <c r="J73" s="19"/>
      <c r="K73" s="19"/>
    </row>
    <row r="74" spans="1:11">
      <c r="A74" s="19"/>
      <c r="B74" s="19"/>
      <c r="C74" s="19" t="s">
        <v>124</v>
      </c>
      <c r="D74" s="32" t="s">
        <v>61</v>
      </c>
      <c r="E74" s="21">
        <v>0</v>
      </c>
      <c r="F74" s="19"/>
      <c r="G74" s="19"/>
      <c r="H74" s="20"/>
      <c r="I74" s="36"/>
      <c r="J74" s="19"/>
      <c r="K74" s="19"/>
    </row>
    <row r="75" spans="1:11">
      <c r="A75" s="19"/>
      <c r="B75" s="19"/>
      <c r="C75" s="19" t="s">
        <v>125</v>
      </c>
      <c r="D75" s="32" t="s">
        <v>61</v>
      </c>
      <c r="E75" s="21">
        <v>1</v>
      </c>
      <c r="F75" s="19"/>
      <c r="G75" s="19"/>
      <c r="H75" s="20"/>
      <c r="I75" s="36"/>
      <c r="J75" s="19"/>
      <c r="K75" s="19"/>
    </row>
    <row r="76" spans="1:11" ht="4.05" customHeight="1">
      <c r="A76" s="19"/>
      <c r="B76" s="19"/>
      <c r="C76" s="80"/>
      <c r="D76" s="81"/>
      <c r="E76" s="80"/>
      <c r="F76" s="19"/>
      <c r="G76" s="19"/>
      <c r="H76" s="20"/>
      <c r="I76" s="36"/>
      <c r="J76" s="19"/>
      <c r="K76" s="19"/>
    </row>
    <row r="77" spans="1:11">
      <c r="A77" s="19"/>
      <c r="B77" s="19"/>
      <c r="C77" s="20" t="s">
        <v>127</v>
      </c>
      <c r="D77" s="32" t="s">
        <v>61</v>
      </c>
      <c r="E77" s="101">
        <v>0.12</v>
      </c>
      <c r="F77" s="19"/>
      <c r="G77" s="19"/>
      <c r="H77" s="20"/>
      <c r="I77" s="36"/>
      <c r="J77" s="19"/>
      <c r="K77" s="19"/>
    </row>
    <row r="78" spans="1:11">
      <c r="A78" s="19"/>
      <c r="B78" s="19"/>
      <c r="C78" s="19"/>
      <c r="D78" s="32"/>
      <c r="E78" s="19"/>
      <c r="F78" s="19"/>
      <c r="G78" s="19"/>
      <c r="H78" s="20"/>
      <c r="I78" s="36"/>
      <c r="J78" s="19"/>
      <c r="K78" s="19"/>
    </row>
    <row r="79" spans="1:11">
      <c r="A79" s="19"/>
      <c r="B79" s="19"/>
      <c r="C79" s="19"/>
      <c r="D79" s="32"/>
      <c r="E79" s="19"/>
      <c r="F79" s="19"/>
      <c r="G79" s="19"/>
      <c r="H79" s="20"/>
      <c r="I79" s="36"/>
      <c r="J79" s="19"/>
      <c r="K79" s="19"/>
    </row>
  </sheetData>
  <conditionalFormatting sqref="E6">
    <cfRule type="notContainsBlanks" dxfId="9" priority="5">
      <formula>LEN(TRIM(E6))&gt;0</formula>
    </cfRule>
  </conditionalFormatting>
  <conditionalFormatting sqref="F29">
    <cfRule type="notContainsBlanks" dxfId="8" priority="3">
      <formula>LEN(TRIM(F29))&gt;0</formula>
    </cfRule>
  </conditionalFormatting>
  <conditionalFormatting sqref="F25">
    <cfRule type="notContainsBlanks" dxfId="7" priority="4">
      <formula>LEN(TRIM(F25))&gt;0</formula>
    </cfRule>
  </conditionalFormatting>
  <conditionalFormatting sqref="F49">
    <cfRule type="notContainsBlanks" dxfId="6" priority="2">
      <formula>LEN(TRIM(F49))&gt;0</formula>
    </cfRule>
  </conditionalFormatting>
  <conditionalFormatting sqref="E72">
    <cfRule type="notContainsBlanks" dxfId="5" priority="1">
      <formula>LEN(TRIM(E72))&gt;0</formula>
    </cfRule>
  </conditionalFormatting>
  <dataValidations count="1">
    <dataValidation type="whole" allowBlank="1" showInputMessage="1" showErrorMessage="1" sqref="E8:E11 E74:E75">
      <formula1>0</formula1>
      <formula2>1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ежемесячно!$L$7:$CE$7</xm:f>
          </x14:formula1>
          <xm:sqref>E15:E19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C1:CH97"/>
  <sheetViews>
    <sheetView showGridLines="0" zoomScaleNormal="100" workbookViewId="0">
      <pane xSplit="10" ySplit="7" topLeftCell="K8" activePane="bottomRight" state="frozen"/>
      <selection pane="topRight" activeCell="J1" sqref="J1"/>
      <selection pane="bottomLeft" activeCell="A8" sqref="A8"/>
      <selection pane="bottomRight" activeCell="A4" sqref="A4"/>
    </sheetView>
  </sheetViews>
  <sheetFormatPr defaultRowHeight="10.199999999999999"/>
  <cols>
    <col min="1" max="2" width="2.77734375" style="4" customWidth="1"/>
    <col min="3" max="3" width="7" style="4" customWidth="1"/>
    <col min="4" max="4" width="2.77734375" style="4" customWidth="1"/>
    <col min="5" max="5" width="41.33203125" style="4" bestFit="1" customWidth="1"/>
    <col min="6" max="6" width="8.88671875" style="4"/>
    <col min="7" max="7" width="2.77734375" style="33" customWidth="1"/>
    <col min="8" max="8" width="4.88671875" style="3" customWidth="1"/>
    <col min="9" max="9" width="8.88671875" style="8"/>
    <col min="10" max="10" width="10.5546875" style="43" customWidth="1"/>
    <col min="11" max="11" width="2.77734375" style="69" customWidth="1"/>
    <col min="12" max="83" width="10.5546875" style="4" customWidth="1"/>
    <col min="84" max="16384" width="8.88671875" style="4"/>
  </cols>
  <sheetData>
    <row r="1" spans="3:86">
      <c r="I1" s="43" t="s">
        <v>118</v>
      </c>
      <c r="L1" s="4">
        <f>IF(L$7&lt;=условия!$E$17,0,IF(L$7&lt;=условия!$E$18,K1+1,0))</f>
        <v>0</v>
      </c>
      <c r="M1" s="4">
        <f>IF(M$7&lt;=условия!$E$17,0,IF(M$7&lt;=условия!$E$18,L1+1,0))</f>
        <v>0</v>
      </c>
      <c r="N1" s="4">
        <f>IF(N$7&lt;=условия!$E$17,0,IF(N$7&lt;=условия!$E$18,M1+1,0))</f>
        <v>0</v>
      </c>
      <c r="O1" s="4">
        <f>IF(O$7&lt;=условия!$E$17,0,IF(O$7&lt;=условия!$E$18,N1+1,0))</f>
        <v>0</v>
      </c>
      <c r="P1" s="4">
        <f>IF(P$7&lt;=условия!$E$17,0,IF(P$7&lt;=условия!$E$18,O1+1,0))</f>
        <v>0</v>
      </c>
      <c r="Q1" s="4">
        <f>IF(Q$7&lt;=условия!$E$17,0,IF(Q$7&lt;=условия!$E$18,P1+1,0))</f>
        <v>0</v>
      </c>
      <c r="R1" s="4">
        <f>IF(R$7&lt;=условия!$E$17,0,IF(R$7&lt;=условия!$E$18,Q1+1,0))</f>
        <v>0</v>
      </c>
      <c r="S1" s="4">
        <f>IF(S$7&lt;=условия!$E$17,0,IF(S$7&lt;=условия!$E$18,R1+1,0))</f>
        <v>0</v>
      </c>
      <c r="T1" s="4">
        <f>IF(T$7&lt;=условия!$E$17,0,IF(T$7&lt;=условия!$E$18,S1+1,0))</f>
        <v>0</v>
      </c>
      <c r="U1" s="4">
        <f>IF(U$7&lt;=условия!$E$17,0,IF(U$7&lt;=условия!$E$18,T1+1,0))</f>
        <v>0</v>
      </c>
      <c r="V1" s="4">
        <f>IF(V$7&lt;=условия!$E$17,0,IF(V$7&lt;=условия!$E$18,U1+1,0))</f>
        <v>0</v>
      </c>
      <c r="W1" s="4">
        <f>IF(W$7&lt;=условия!$E$17,0,IF(W$7&lt;=условия!$E$18,V1+1,0))</f>
        <v>0</v>
      </c>
      <c r="X1" s="4">
        <f>IF(X$7&lt;=условия!$E$17,0,IF(X$7&lt;=условия!$E$18,W1+1,0))</f>
        <v>0</v>
      </c>
      <c r="Y1" s="4">
        <f>IF(Y$7&lt;=условия!$E$17,0,IF(Y$7&lt;=условия!$E$18,X1+1,0))</f>
        <v>0</v>
      </c>
      <c r="Z1" s="4">
        <f>IF(Z$7&lt;=условия!$E$17,0,IF(Z$7&lt;=условия!$E$18,Y1+1,0))</f>
        <v>0</v>
      </c>
      <c r="AA1" s="4">
        <f>IF(AA$7&lt;=условия!$E$17,0,IF(AA$7&lt;=условия!$E$18,Z1+1,0))</f>
        <v>0</v>
      </c>
      <c r="AB1" s="4">
        <f>IF(AB$7&lt;=условия!$E$17,0,IF(AB$7&lt;=условия!$E$18,AA1+1,0))</f>
        <v>0</v>
      </c>
      <c r="AC1" s="4">
        <f>IF(AC$7&lt;=условия!$E$17,0,IF(AC$7&lt;=условия!$E$18,AB1+1,0))</f>
        <v>0</v>
      </c>
      <c r="AD1" s="4">
        <f>IF(AD$7&lt;=условия!$E$17,0,IF(AD$7&lt;=условия!$E$18,AC1+1,0))</f>
        <v>0</v>
      </c>
      <c r="AE1" s="4">
        <f>IF(AE$7&lt;=условия!$E$17,0,IF(AE$7&lt;=условия!$E$18,AD1+1,0))</f>
        <v>0</v>
      </c>
      <c r="AF1" s="4">
        <f>IF(AF$7&lt;=условия!$E$17,0,IF(AF$7&lt;=условия!$E$18,AE1+1,0))</f>
        <v>0</v>
      </c>
      <c r="AG1" s="4">
        <f>IF(AG$7&lt;=условия!$E$17,0,IF(AG$7&lt;=условия!$E$18,AF1+1,0))</f>
        <v>0</v>
      </c>
      <c r="AH1" s="4">
        <f>IF(AH$7&lt;=условия!$E$17,0,IF(AH$7&lt;=условия!$E$18,AG1+1,0))</f>
        <v>0</v>
      </c>
      <c r="AI1" s="4">
        <f>IF(AI$7&lt;=условия!$E$17,0,IF(AI$7&lt;=условия!$E$18,AH1+1,0))</f>
        <v>0</v>
      </c>
      <c r="AJ1" s="4">
        <f>IF(AJ$7&lt;=условия!$E$17,0,IF(AJ$7&lt;=условия!$E$18,AI1+1,0))</f>
        <v>0</v>
      </c>
      <c r="AK1" s="4">
        <f>IF(AK$7&lt;=условия!$E$17,0,IF(AK$7&lt;=условия!$E$18,AJ1+1,0))</f>
        <v>1</v>
      </c>
      <c r="AL1" s="4">
        <f>IF(AL$7&lt;=условия!$E$17,0,IF(AL$7&lt;=условия!$E$18,AK1+1,0))</f>
        <v>2</v>
      </c>
      <c r="AM1" s="4">
        <f>IF(AM$7&lt;=условия!$E$17,0,IF(AM$7&lt;=условия!$E$18,AL1+1,0))</f>
        <v>3</v>
      </c>
      <c r="AN1" s="4">
        <f>IF(AN$7&lt;=условия!$E$17,0,IF(AN$7&lt;=условия!$E$18,AM1+1,0))</f>
        <v>4</v>
      </c>
      <c r="AO1" s="4">
        <f>IF(AO$7&lt;=условия!$E$17,0,IF(AO$7&lt;=условия!$E$18,AN1+1,0))</f>
        <v>5</v>
      </c>
      <c r="AP1" s="4">
        <f>IF(AP$7&lt;=условия!$E$17,0,IF(AP$7&lt;=условия!$E$18,AO1+1,0))</f>
        <v>6</v>
      </c>
      <c r="AQ1" s="4">
        <f>IF(AQ$7&lt;=условия!$E$17,0,IF(AQ$7&lt;=условия!$E$18,AP1+1,0))</f>
        <v>7</v>
      </c>
      <c r="AR1" s="4">
        <f>IF(AR$7&lt;=условия!$E$17,0,IF(AR$7&lt;=условия!$E$18,AQ1+1,0))</f>
        <v>8</v>
      </c>
      <c r="AS1" s="4">
        <f>IF(AS$7&lt;=условия!$E$17,0,IF(AS$7&lt;=условия!$E$18,AR1+1,0))</f>
        <v>9</v>
      </c>
      <c r="AT1" s="4">
        <f>IF(AT$7&lt;=условия!$E$17,0,IF(AT$7&lt;=условия!$E$18,AS1+1,0))</f>
        <v>10</v>
      </c>
      <c r="AU1" s="4">
        <f>IF(AU$7&lt;=условия!$E$17,0,IF(AU$7&lt;=условия!$E$18,AT1+1,0))</f>
        <v>11</v>
      </c>
      <c r="AV1" s="4">
        <f>IF(AV$7&lt;=условия!$E$17,0,IF(AV$7&lt;=условия!$E$18,AU1+1,0))</f>
        <v>12</v>
      </c>
      <c r="AW1" s="4">
        <f>IF(AW$7&lt;=условия!$E$17,0,IF(AW$7&lt;=условия!$E$18,AV1+1,0))</f>
        <v>13</v>
      </c>
      <c r="AX1" s="4">
        <f>IF(AX$7&lt;=условия!$E$17,0,IF(AX$7&lt;=условия!$E$18,AW1+1,0))</f>
        <v>14</v>
      </c>
      <c r="AY1" s="4">
        <f>IF(AY$7&lt;=условия!$E$17,0,IF(AY$7&lt;=условия!$E$18,AX1+1,0))</f>
        <v>0</v>
      </c>
      <c r="AZ1" s="4">
        <f>IF(AZ$7&lt;=условия!$E$17,0,IF(AZ$7&lt;=условия!$E$18,AY1+1,0))</f>
        <v>0</v>
      </c>
      <c r="BA1" s="4">
        <f>IF(BA$7&lt;=условия!$E$17,0,IF(BA$7&lt;=условия!$E$18,AZ1+1,0))</f>
        <v>0</v>
      </c>
      <c r="BB1" s="4">
        <f>IF(BB$7&lt;=условия!$E$17,0,IF(BB$7&lt;=условия!$E$18,BA1+1,0))</f>
        <v>0</v>
      </c>
      <c r="BC1" s="4">
        <f>IF(BC$7&lt;=условия!$E$17,0,IF(BC$7&lt;=условия!$E$18,BB1+1,0))</f>
        <v>0</v>
      </c>
      <c r="BD1" s="4">
        <f>IF(BD$7&lt;=условия!$E$17,0,IF(BD$7&lt;=условия!$E$18,BC1+1,0))</f>
        <v>0</v>
      </c>
      <c r="BE1" s="4">
        <f>IF(BE$7&lt;=условия!$E$17,0,IF(BE$7&lt;=условия!$E$18,BD1+1,0))</f>
        <v>0</v>
      </c>
      <c r="BF1" s="4">
        <f>IF(BF$7&lt;=условия!$E$17,0,IF(BF$7&lt;=условия!$E$18,BE1+1,0))</f>
        <v>0</v>
      </c>
      <c r="BG1" s="4">
        <f>IF(BG$7&lt;=условия!$E$17,0,IF(BG$7&lt;=условия!$E$18,BF1+1,0))</f>
        <v>0</v>
      </c>
      <c r="BH1" s="4">
        <f>IF(BH$7&lt;=условия!$E$17,0,IF(BH$7&lt;=условия!$E$18,BG1+1,0))</f>
        <v>0</v>
      </c>
      <c r="BI1" s="4">
        <f>IF(BI$7&lt;=условия!$E$17,0,IF(BI$7&lt;=условия!$E$18,BH1+1,0))</f>
        <v>0</v>
      </c>
      <c r="BJ1" s="4">
        <f>IF(BJ$7&lt;=условия!$E$17,0,IF(BJ$7&lt;=условия!$E$18,BI1+1,0))</f>
        <v>0</v>
      </c>
      <c r="BK1" s="4">
        <f>IF(BK$7&lt;=условия!$E$17,0,IF(BK$7&lt;=условия!$E$18,BJ1+1,0))</f>
        <v>0</v>
      </c>
      <c r="BL1" s="4">
        <f>IF(BL$7&lt;=условия!$E$17,0,IF(BL$7&lt;=условия!$E$18,BK1+1,0))</f>
        <v>0</v>
      </c>
      <c r="BM1" s="4">
        <f>IF(BM$7&lt;=условия!$E$17,0,IF(BM$7&lt;=условия!$E$18,BL1+1,0))</f>
        <v>0</v>
      </c>
      <c r="BN1" s="4">
        <f>IF(BN$7&lt;=условия!$E$17,0,IF(BN$7&lt;=условия!$E$18,BM1+1,0))</f>
        <v>0</v>
      </c>
      <c r="BO1" s="4">
        <f>IF(BO$7&lt;=условия!$E$17,0,IF(BO$7&lt;=условия!$E$18,BN1+1,0))</f>
        <v>0</v>
      </c>
      <c r="BP1" s="4">
        <f>IF(BP$7&lt;=условия!$E$17,0,IF(BP$7&lt;=условия!$E$18,BO1+1,0))</f>
        <v>0</v>
      </c>
      <c r="BQ1" s="4">
        <f>IF(BQ$7&lt;=условия!$E$17,0,IF(BQ$7&lt;=условия!$E$18,BP1+1,0))</f>
        <v>0</v>
      </c>
      <c r="BR1" s="4">
        <f>IF(BR$7&lt;=условия!$E$17,0,IF(BR$7&lt;=условия!$E$18,BQ1+1,0))</f>
        <v>0</v>
      </c>
      <c r="BS1" s="4">
        <f>IF(BS$7&lt;=условия!$E$17,0,IF(BS$7&lt;=условия!$E$18,BR1+1,0))</f>
        <v>0</v>
      </c>
      <c r="BT1" s="4">
        <f>IF(BT$7&lt;=условия!$E$17,0,IF(BT$7&lt;=условия!$E$18,BS1+1,0))</f>
        <v>0</v>
      </c>
      <c r="BU1" s="4">
        <f>IF(BU$7&lt;=условия!$E$17,0,IF(BU$7&lt;=условия!$E$18,BT1+1,0))</f>
        <v>0</v>
      </c>
      <c r="BV1" s="4">
        <f>IF(BV$7&lt;=условия!$E$17,0,IF(BV$7&lt;=условия!$E$18,BU1+1,0))</f>
        <v>0</v>
      </c>
      <c r="BW1" s="4">
        <f>IF(BW$7&lt;=условия!$E$17,0,IF(BW$7&lt;=условия!$E$18,BV1+1,0))</f>
        <v>0</v>
      </c>
      <c r="BX1" s="4">
        <f>IF(BX$7&lt;=условия!$E$17,0,IF(BX$7&lt;=условия!$E$18,BW1+1,0))</f>
        <v>0</v>
      </c>
      <c r="BY1" s="4">
        <f>IF(BY$7&lt;=условия!$E$17,0,IF(BY$7&lt;=условия!$E$18,BX1+1,0))</f>
        <v>0</v>
      </c>
      <c r="BZ1" s="4">
        <f>IF(BZ$7&lt;=условия!$E$17,0,IF(BZ$7&lt;=условия!$E$18,BY1+1,0))</f>
        <v>0</v>
      </c>
      <c r="CA1" s="4">
        <f>IF(CA$7&lt;=условия!$E$17,0,IF(CA$7&lt;=условия!$E$18,BZ1+1,0))</f>
        <v>0</v>
      </c>
      <c r="CB1" s="4">
        <f>IF(CB$7&lt;=условия!$E$17,0,IF(CB$7&lt;=условия!$E$18,CA1+1,0))</f>
        <v>0</v>
      </c>
      <c r="CC1" s="4">
        <f>IF(CC$7&lt;=условия!$E$17,0,IF(CC$7&lt;=условия!$E$18,CB1+1,0))</f>
        <v>0</v>
      </c>
      <c r="CD1" s="4">
        <f>IF(CD$7&lt;=условия!$E$17,0,IF(CD$7&lt;=условия!$E$18,CC1+1,0))</f>
        <v>0</v>
      </c>
      <c r="CE1" s="4">
        <f>IF(CE$7&lt;=условия!$E$17,0,IF(CE$7&lt;=условия!$E$18,CD1+1,0))</f>
        <v>0</v>
      </c>
    </row>
    <row r="2" spans="3:86">
      <c r="I2" s="43" t="s">
        <v>119</v>
      </c>
      <c r="L2" s="4">
        <f>IF(L$7&lt;=условия!$E$17,0,IF(L$7&lt;=условия!$E$19,K2+1,0))</f>
        <v>0</v>
      </c>
      <c r="M2" s="4">
        <f>IF(M$7&lt;=условия!$E$17,0,IF(M$7&lt;=условия!$E$19,L2+1,0))</f>
        <v>0</v>
      </c>
      <c r="N2" s="4">
        <f>IF(N$7&lt;=условия!$E$17,0,IF(N$7&lt;=условия!$E$19,M2+1,0))</f>
        <v>0</v>
      </c>
      <c r="O2" s="4">
        <f>IF(O$7&lt;=условия!$E$17,0,IF(O$7&lt;=условия!$E$19,N2+1,0))</f>
        <v>0</v>
      </c>
      <c r="P2" s="4">
        <f>IF(P$7&lt;=условия!$E$17,0,IF(P$7&lt;=условия!$E$19,O2+1,0))</f>
        <v>0</v>
      </c>
      <c r="Q2" s="4">
        <f>IF(Q$7&lt;=условия!$E$17,0,IF(Q$7&lt;=условия!$E$19,P2+1,0))</f>
        <v>0</v>
      </c>
      <c r="R2" s="4">
        <f>IF(R$7&lt;=условия!$E$17,0,IF(R$7&lt;=условия!$E$19,Q2+1,0))</f>
        <v>0</v>
      </c>
      <c r="S2" s="4">
        <f>IF(S$7&lt;=условия!$E$17,0,IF(S$7&lt;=условия!$E$19,R2+1,0))</f>
        <v>0</v>
      </c>
      <c r="T2" s="4">
        <f>IF(T$7&lt;=условия!$E$17,0,IF(T$7&lt;=условия!$E$19,S2+1,0))</f>
        <v>0</v>
      </c>
      <c r="U2" s="4">
        <f>IF(U$7&lt;=условия!$E$17,0,IF(U$7&lt;=условия!$E$19,T2+1,0))</f>
        <v>0</v>
      </c>
      <c r="V2" s="4">
        <f>IF(V$7&lt;=условия!$E$17,0,IF(V$7&lt;=условия!$E$19,U2+1,0))</f>
        <v>0</v>
      </c>
      <c r="W2" s="4">
        <f>IF(W$7&lt;=условия!$E$17,0,IF(W$7&lt;=условия!$E$19,V2+1,0))</f>
        <v>0</v>
      </c>
      <c r="X2" s="4">
        <f>IF(X$7&lt;=условия!$E$17,0,IF(X$7&lt;=условия!$E$19,W2+1,0))</f>
        <v>0</v>
      </c>
      <c r="Y2" s="4">
        <f>IF(Y$7&lt;=условия!$E$17,0,IF(Y$7&lt;=условия!$E$19,X2+1,0))</f>
        <v>0</v>
      </c>
      <c r="Z2" s="4">
        <f>IF(Z$7&lt;=условия!$E$17,0,IF(Z$7&lt;=условия!$E$19,Y2+1,0))</f>
        <v>0</v>
      </c>
      <c r="AA2" s="4">
        <f>IF(AA$7&lt;=условия!$E$17,0,IF(AA$7&lt;=условия!$E$19,Z2+1,0))</f>
        <v>0</v>
      </c>
      <c r="AB2" s="4">
        <f>IF(AB$7&lt;=условия!$E$17,0,IF(AB$7&lt;=условия!$E$19,AA2+1,0))</f>
        <v>0</v>
      </c>
      <c r="AC2" s="4">
        <f>IF(AC$7&lt;=условия!$E$17,0,IF(AC$7&lt;=условия!$E$19,AB2+1,0))</f>
        <v>0</v>
      </c>
      <c r="AD2" s="4">
        <f>IF(AD$7&lt;=условия!$E$17,0,IF(AD$7&lt;=условия!$E$19,AC2+1,0))</f>
        <v>0</v>
      </c>
      <c r="AE2" s="4">
        <f>IF(AE$7&lt;=условия!$E$17,0,IF(AE$7&lt;=условия!$E$19,AD2+1,0))</f>
        <v>0</v>
      </c>
      <c r="AF2" s="4">
        <f>IF(AF$7&lt;=условия!$E$17,0,IF(AF$7&lt;=условия!$E$19,AE2+1,0))</f>
        <v>0</v>
      </c>
      <c r="AG2" s="4">
        <f>IF(AG$7&lt;=условия!$E$17,0,IF(AG$7&lt;=условия!$E$19,AF2+1,0))</f>
        <v>0</v>
      </c>
      <c r="AH2" s="4">
        <f>IF(AH$7&lt;=условия!$E$17,0,IF(AH$7&lt;=условия!$E$19,AG2+1,0))</f>
        <v>0</v>
      </c>
      <c r="AI2" s="4">
        <f>IF(AI$7&lt;=условия!$E$17,0,IF(AI$7&lt;=условия!$E$19,AH2+1,0))</f>
        <v>0</v>
      </c>
      <c r="AJ2" s="4">
        <f>IF(AJ$7&lt;=условия!$E$17,0,IF(AJ$7&lt;=условия!$E$19,AI2+1,0))</f>
        <v>0</v>
      </c>
      <c r="AK2" s="4">
        <f>IF(AK$7&lt;=условия!$E$17,0,IF(AK$7&lt;=условия!$E$19,AJ2+1,0))</f>
        <v>1</v>
      </c>
      <c r="AL2" s="4">
        <f>IF(AL$7&lt;=условия!$E$17,0,IF(AL$7&lt;=условия!$E$19,AK2+1,0))</f>
        <v>2</v>
      </c>
      <c r="AM2" s="4">
        <f>IF(AM$7&lt;=условия!$E$17,0,IF(AM$7&lt;=условия!$E$19,AL2+1,0))</f>
        <v>3</v>
      </c>
      <c r="AN2" s="4">
        <f>IF(AN$7&lt;=условия!$E$17,0,IF(AN$7&lt;=условия!$E$19,AM2+1,0))</f>
        <v>4</v>
      </c>
      <c r="AO2" s="4">
        <f>IF(AO$7&lt;=условия!$E$17,0,IF(AO$7&lt;=условия!$E$19,AN2+1,0))</f>
        <v>5</v>
      </c>
      <c r="AP2" s="4">
        <f>IF(AP$7&lt;=условия!$E$17,0,IF(AP$7&lt;=условия!$E$19,AO2+1,0))</f>
        <v>6</v>
      </c>
      <c r="AQ2" s="4">
        <f>IF(AQ$7&lt;=условия!$E$17,0,IF(AQ$7&lt;=условия!$E$19,AP2+1,0))</f>
        <v>7</v>
      </c>
      <c r="AR2" s="4">
        <f>IF(AR$7&lt;=условия!$E$17,0,IF(AR$7&lt;=условия!$E$19,AQ2+1,0))</f>
        <v>8</v>
      </c>
      <c r="AS2" s="4">
        <f>IF(AS$7&lt;=условия!$E$17,0,IF(AS$7&lt;=условия!$E$19,AR2+1,0))</f>
        <v>9</v>
      </c>
      <c r="AT2" s="4">
        <f>IF(AT$7&lt;=условия!$E$17,0,IF(AT$7&lt;=условия!$E$19,AS2+1,0))</f>
        <v>10</v>
      </c>
      <c r="AU2" s="4">
        <f>IF(AU$7&lt;=условия!$E$17,0,IF(AU$7&lt;=условия!$E$19,AT2+1,0))</f>
        <v>11</v>
      </c>
      <c r="AV2" s="4">
        <f>IF(AV$7&lt;=условия!$E$17,0,IF(AV$7&lt;=условия!$E$19,AU2+1,0))</f>
        <v>12</v>
      </c>
      <c r="AW2" s="4">
        <f>IF(AW$7&lt;=условия!$E$17,0,IF(AW$7&lt;=условия!$E$19,AV2+1,0))</f>
        <v>13</v>
      </c>
      <c r="AX2" s="4">
        <f>IF(AX$7&lt;=условия!$E$17,0,IF(AX$7&lt;=условия!$E$19,AW2+1,0))</f>
        <v>14</v>
      </c>
      <c r="AY2" s="4">
        <f>IF(AY$7&lt;=условия!$E$17,0,IF(AY$7&lt;=условия!$E$19,AX2+1,0))</f>
        <v>15</v>
      </c>
      <c r="AZ2" s="4">
        <f>IF(AZ$7&lt;=условия!$E$17,0,IF(AZ$7&lt;=условия!$E$19,AY2+1,0))</f>
        <v>16</v>
      </c>
      <c r="BA2" s="4">
        <f>IF(BA$7&lt;=условия!$E$17,0,IF(BA$7&lt;=условия!$E$19,AZ2+1,0))</f>
        <v>17</v>
      </c>
      <c r="BB2" s="4">
        <f>IF(BB$7&lt;=условия!$E$17,0,IF(BB$7&lt;=условия!$E$19,BA2+1,0))</f>
        <v>18</v>
      </c>
      <c r="BC2" s="4">
        <f>IF(BC$7&lt;=условия!$E$17,0,IF(BC$7&lt;=условия!$E$19,BB2+1,0))</f>
        <v>19</v>
      </c>
      <c r="BD2" s="4">
        <f>IF(BD$7&lt;=условия!$E$17,0,IF(BD$7&lt;=условия!$E$19,BC2+1,0))</f>
        <v>20</v>
      </c>
      <c r="BE2" s="4">
        <f>IF(BE$7&lt;=условия!$E$17,0,IF(BE$7&lt;=условия!$E$19,BD2+1,0))</f>
        <v>21</v>
      </c>
      <c r="BF2" s="4">
        <f>IF(BF$7&lt;=условия!$E$17,0,IF(BF$7&lt;=условия!$E$19,BE2+1,0))</f>
        <v>0</v>
      </c>
      <c r="BG2" s="4">
        <f>IF(BG$7&lt;=условия!$E$17,0,IF(BG$7&lt;=условия!$E$19,BF2+1,0))</f>
        <v>0</v>
      </c>
      <c r="BH2" s="4">
        <f>IF(BH$7&lt;=условия!$E$17,0,IF(BH$7&lt;=условия!$E$19,BG2+1,0))</f>
        <v>0</v>
      </c>
      <c r="BI2" s="4">
        <f>IF(BI$7&lt;=условия!$E$17,0,IF(BI$7&lt;=условия!$E$19,BH2+1,0))</f>
        <v>0</v>
      </c>
      <c r="BJ2" s="4">
        <f>IF(BJ$7&lt;=условия!$E$17,0,IF(BJ$7&lt;=условия!$E$19,BI2+1,0))</f>
        <v>0</v>
      </c>
      <c r="BK2" s="4">
        <f>IF(BK$7&lt;=условия!$E$17,0,IF(BK$7&lt;=условия!$E$19,BJ2+1,0))</f>
        <v>0</v>
      </c>
      <c r="BL2" s="4">
        <f>IF(BL$7&lt;=условия!$E$17,0,IF(BL$7&lt;=условия!$E$19,BK2+1,0))</f>
        <v>0</v>
      </c>
      <c r="BM2" s="4">
        <f>IF(BM$7&lt;=условия!$E$17,0,IF(BM$7&lt;=условия!$E$19,BL2+1,0))</f>
        <v>0</v>
      </c>
      <c r="BN2" s="4">
        <f>IF(BN$7&lt;=условия!$E$17,0,IF(BN$7&lt;=условия!$E$19,BM2+1,0))</f>
        <v>0</v>
      </c>
      <c r="BO2" s="4">
        <f>IF(BO$7&lt;=условия!$E$17,0,IF(BO$7&lt;=условия!$E$19,BN2+1,0))</f>
        <v>0</v>
      </c>
      <c r="BP2" s="4">
        <f>IF(BP$7&lt;=условия!$E$17,0,IF(BP$7&lt;=условия!$E$19,BO2+1,0))</f>
        <v>0</v>
      </c>
      <c r="BQ2" s="4">
        <f>IF(BQ$7&lt;=условия!$E$17,0,IF(BQ$7&lt;=условия!$E$19,BP2+1,0))</f>
        <v>0</v>
      </c>
      <c r="BR2" s="4">
        <f>IF(BR$7&lt;=условия!$E$17,0,IF(BR$7&lt;=условия!$E$19,BQ2+1,0))</f>
        <v>0</v>
      </c>
      <c r="BS2" s="4">
        <f>IF(BS$7&lt;=условия!$E$17,0,IF(BS$7&lt;=условия!$E$19,BR2+1,0))</f>
        <v>0</v>
      </c>
      <c r="BT2" s="4">
        <f>IF(BT$7&lt;=условия!$E$17,0,IF(BT$7&lt;=условия!$E$19,BS2+1,0))</f>
        <v>0</v>
      </c>
      <c r="BU2" s="4">
        <f>IF(BU$7&lt;=условия!$E$17,0,IF(BU$7&lt;=условия!$E$19,BT2+1,0))</f>
        <v>0</v>
      </c>
      <c r="BV2" s="4">
        <f>IF(BV$7&lt;=условия!$E$17,0,IF(BV$7&lt;=условия!$E$19,BU2+1,0))</f>
        <v>0</v>
      </c>
      <c r="BW2" s="4">
        <f>IF(BW$7&lt;=условия!$E$17,0,IF(BW$7&lt;=условия!$E$19,BV2+1,0))</f>
        <v>0</v>
      </c>
      <c r="BX2" s="4">
        <f>IF(BX$7&lt;=условия!$E$17,0,IF(BX$7&lt;=условия!$E$19,BW2+1,0))</f>
        <v>0</v>
      </c>
      <c r="BY2" s="4">
        <f>IF(BY$7&lt;=условия!$E$17,0,IF(BY$7&lt;=условия!$E$19,BX2+1,0))</f>
        <v>0</v>
      </c>
      <c r="BZ2" s="4">
        <f>IF(BZ$7&lt;=условия!$E$17,0,IF(BZ$7&lt;=условия!$E$19,BY2+1,0))</f>
        <v>0</v>
      </c>
      <c r="CA2" s="4">
        <f>IF(CA$7&lt;=условия!$E$17,0,IF(CA$7&lt;=условия!$E$19,BZ2+1,0))</f>
        <v>0</v>
      </c>
      <c r="CB2" s="4">
        <f>IF(CB$7&lt;=условия!$E$17,0,IF(CB$7&lt;=условия!$E$19,CA2+1,0))</f>
        <v>0</v>
      </c>
      <c r="CC2" s="4">
        <f>IF(CC$7&lt;=условия!$E$17,0,IF(CC$7&lt;=условия!$E$19,CB2+1,0))</f>
        <v>0</v>
      </c>
      <c r="CD2" s="4">
        <f>IF(CD$7&lt;=условия!$E$17,0,IF(CD$7&lt;=условия!$E$19,CC2+1,0))</f>
        <v>0</v>
      </c>
      <c r="CE2" s="4">
        <f>IF(CE$7&lt;=условия!$E$17,0,IF(CE$7&lt;=условия!$E$19,CD2+1,0))</f>
        <v>0</v>
      </c>
    </row>
    <row r="3" spans="3:86">
      <c r="I3" s="43" t="s">
        <v>120</v>
      </c>
      <c r="L3" s="4">
        <f t="shared" ref="L3:AQ3" si="0">IF(K3&gt;0,K3+1,IF(J$2=MAX($2:$2),1,0))</f>
        <v>0</v>
      </c>
      <c r="M3" s="4">
        <f t="shared" si="0"/>
        <v>0</v>
      </c>
      <c r="N3" s="4">
        <f t="shared" si="0"/>
        <v>0</v>
      </c>
      <c r="O3" s="4">
        <f t="shared" si="0"/>
        <v>0</v>
      </c>
      <c r="P3" s="4">
        <f t="shared" si="0"/>
        <v>0</v>
      </c>
      <c r="Q3" s="4">
        <f t="shared" si="0"/>
        <v>0</v>
      </c>
      <c r="R3" s="4">
        <f t="shared" si="0"/>
        <v>0</v>
      </c>
      <c r="S3" s="4">
        <f t="shared" si="0"/>
        <v>0</v>
      </c>
      <c r="T3" s="4">
        <f t="shared" si="0"/>
        <v>0</v>
      </c>
      <c r="U3" s="4">
        <f t="shared" si="0"/>
        <v>0</v>
      </c>
      <c r="V3" s="4">
        <f t="shared" si="0"/>
        <v>0</v>
      </c>
      <c r="W3" s="4">
        <f t="shared" si="0"/>
        <v>0</v>
      </c>
      <c r="X3" s="4">
        <f t="shared" si="0"/>
        <v>0</v>
      </c>
      <c r="Y3" s="4">
        <f t="shared" si="0"/>
        <v>0</v>
      </c>
      <c r="Z3" s="4">
        <f t="shared" si="0"/>
        <v>0</v>
      </c>
      <c r="AA3" s="4">
        <f t="shared" si="0"/>
        <v>0</v>
      </c>
      <c r="AB3" s="4">
        <f t="shared" si="0"/>
        <v>0</v>
      </c>
      <c r="AC3" s="4">
        <f t="shared" si="0"/>
        <v>0</v>
      </c>
      <c r="AD3" s="4">
        <f t="shared" si="0"/>
        <v>0</v>
      </c>
      <c r="AE3" s="4">
        <f t="shared" si="0"/>
        <v>0</v>
      </c>
      <c r="AF3" s="4">
        <f t="shared" si="0"/>
        <v>0</v>
      </c>
      <c r="AG3" s="4">
        <f t="shared" si="0"/>
        <v>0</v>
      </c>
      <c r="AH3" s="4">
        <f t="shared" si="0"/>
        <v>0</v>
      </c>
      <c r="AI3" s="4">
        <f t="shared" si="0"/>
        <v>0</v>
      </c>
      <c r="AJ3" s="4">
        <f t="shared" si="0"/>
        <v>0</v>
      </c>
      <c r="AK3" s="4">
        <f t="shared" si="0"/>
        <v>0</v>
      </c>
      <c r="AL3" s="4">
        <f t="shared" si="0"/>
        <v>0</v>
      </c>
      <c r="AM3" s="4">
        <f t="shared" si="0"/>
        <v>0</v>
      </c>
      <c r="AN3" s="4">
        <f t="shared" si="0"/>
        <v>0</v>
      </c>
      <c r="AO3" s="4">
        <f t="shared" si="0"/>
        <v>0</v>
      </c>
      <c r="AP3" s="4">
        <f t="shared" si="0"/>
        <v>0</v>
      </c>
      <c r="AQ3" s="4">
        <f t="shared" si="0"/>
        <v>0</v>
      </c>
      <c r="AR3" s="4">
        <f t="shared" ref="AR3:BW3" si="1">IF(AQ3&gt;0,AQ3+1,IF(AP$2=MAX($2:$2),1,0))</f>
        <v>0</v>
      </c>
      <c r="AS3" s="4">
        <f t="shared" si="1"/>
        <v>0</v>
      </c>
      <c r="AT3" s="4">
        <f t="shared" si="1"/>
        <v>0</v>
      </c>
      <c r="AU3" s="4">
        <f t="shared" si="1"/>
        <v>0</v>
      </c>
      <c r="AV3" s="4">
        <f t="shared" si="1"/>
        <v>0</v>
      </c>
      <c r="AW3" s="4">
        <f t="shared" si="1"/>
        <v>0</v>
      </c>
      <c r="AX3" s="4">
        <f t="shared" si="1"/>
        <v>0</v>
      </c>
      <c r="AY3" s="4">
        <f t="shared" si="1"/>
        <v>0</v>
      </c>
      <c r="AZ3" s="4">
        <f t="shared" si="1"/>
        <v>0</v>
      </c>
      <c r="BA3" s="4">
        <f t="shared" si="1"/>
        <v>0</v>
      </c>
      <c r="BB3" s="4">
        <f t="shared" si="1"/>
        <v>0</v>
      </c>
      <c r="BC3" s="4">
        <f t="shared" si="1"/>
        <v>0</v>
      </c>
      <c r="BD3" s="4">
        <f t="shared" si="1"/>
        <v>0</v>
      </c>
      <c r="BE3" s="4">
        <f t="shared" si="1"/>
        <v>0</v>
      </c>
      <c r="BF3" s="4">
        <f t="shared" si="1"/>
        <v>0</v>
      </c>
      <c r="BG3" s="4">
        <f t="shared" si="1"/>
        <v>1</v>
      </c>
      <c r="BH3" s="4">
        <f t="shared" si="1"/>
        <v>2</v>
      </c>
      <c r="BI3" s="4">
        <f t="shared" si="1"/>
        <v>3</v>
      </c>
      <c r="BJ3" s="4">
        <f t="shared" si="1"/>
        <v>4</v>
      </c>
      <c r="BK3" s="4">
        <f t="shared" si="1"/>
        <v>5</v>
      </c>
      <c r="BL3" s="4">
        <f t="shared" si="1"/>
        <v>6</v>
      </c>
      <c r="BM3" s="4">
        <f t="shared" si="1"/>
        <v>7</v>
      </c>
      <c r="BN3" s="4">
        <f t="shared" si="1"/>
        <v>8</v>
      </c>
      <c r="BO3" s="4">
        <f t="shared" si="1"/>
        <v>9</v>
      </c>
      <c r="BP3" s="4">
        <f t="shared" si="1"/>
        <v>10</v>
      </c>
      <c r="BQ3" s="4">
        <f t="shared" si="1"/>
        <v>11</v>
      </c>
      <c r="BR3" s="4">
        <f t="shared" si="1"/>
        <v>12</v>
      </c>
      <c r="BS3" s="4">
        <f t="shared" si="1"/>
        <v>13</v>
      </c>
      <c r="BT3" s="4">
        <f t="shared" si="1"/>
        <v>14</v>
      </c>
      <c r="BU3" s="4">
        <f t="shared" si="1"/>
        <v>15</v>
      </c>
      <c r="BV3" s="4">
        <f t="shared" si="1"/>
        <v>16</v>
      </c>
      <c r="BW3" s="4">
        <f t="shared" si="1"/>
        <v>17</v>
      </c>
      <c r="BX3" s="4">
        <f t="shared" ref="BX3:CE3" si="2">IF(BW3&gt;0,BW3+1,IF(BV$2=MAX($2:$2),1,0))</f>
        <v>18</v>
      </c>
      <c r="BY3" s="4">
        <f t="shared" si="2"/>
        <v>19</v>
      </c>
      <c r="BZ3" s="4">
        <f t="shared" si="2"/>
        <v>20</v>
      </c>
      <c r="CA3" s="4">
        <f t="shared" si="2"/>
        <v>21</v>
      </c>
      <c r="CB3" s="4">
        <f t="shared" si="2"/>
        <v>22</v>
      </c>
      <c r="CC3" s="4">
        <f t="shared" si="2"/>
        <v>23</v>
      </c>
      <c r="CD3" s="4">
        <f t="shared" si="2"/>
        <v>24</v>
      </c>
      <c r="CE3" s="4">
        <f t="shared" si="2"/>
        <v>25</v>
      </c>
    </row>
    <row r="4" spans="3:86">
      <c r="C4" s="3" t="str">
        <f>"Сценарий: "&amp;$C$9</f>
        <v>Сценарий: ОСНО</v>
      </c>
    </row>
    <row r="5" spans="3:86">
      <c r="C5" s="3" t="s">
        <v>11</v>
      </c>
      <c r="L5" s="3" t="s">
        <v>116</v>
      </c>
    </row>
    <row r="6" spans="3:86">
      <c r="L6" s="3">
        <v>1</v>
      </c>
      <c r="M6" s="3">
        <f>L6+1</f>
        <v>2</v>
      </c>
      <c r="N6" s="3">
        <f t="shared" ref="N6:BY6" si="3">M6+1</f>
        <v>3</v>
      </c>
      <c r="O6" s="3">
        <f t="shared" si="3"/>
        <v>4</v>
      </c>
      <c r="P6" s="3">
        <f t="shared" si="3"/>
        <v>5</v>
      </c>
      <c r="Q6" s="3">
        <f t="shared" si="3"/>
        <v>6</v>
      </c>
      <c r="R6" s="3">
        <f t="shared" si="3"/>
        <v>7</v>
      </c>
      <c r="S6" s="3">
        <f t="shared" si="3"/>
        <v>8</v>
      </c>
      <c r="T6" s="3">
        <f t="shared" si="3"/>
        <v>9</v>
      </c>
      <c r="U6" s="3">
        <f t="shared" si="3"/>
        <v>10</v>
      </c>
      <c r="V6" s="3">
        <f t="shared" si="3"/>
        <v>11</v>
      </c>
      <c r="W6" s="3">
        <f t="shared" si="3"/>
        <v>12</v>
      </c>
      <c r="X6" s="3">
        <f t="shared" si="3"/>
        <v>13</v>
      </c>
      <c r="Y6" s="3">
        <f t="shared" si="3"/>
        <v>14</v>
      </c>
      <c r="Z6" s="3">
        <f t="shared" si="3"/>
        <v>15</v>
      </c>
      <c r="AA6" s="3">
        <f t="shared" si="3"/>
        <v>16</v>
      </c>
      <c r="AB6" s="3">
        <f t="shared" si="3"/>
        <v>17</v>
      </c>
      <c r="AC6" s="3">
        <f t="shared" si="3"/>
        <v>18</v>
      </c>
      <c r="AD6" s="3">
        <f t="shared" si="3"/>
        <v>19</v>
      </c>
      <c r="AE6" s="3">
        <f t="shared" si="3"/>
        <v>20</v>
      </c>
      <c r="AF6" s="3">
        <f t="shared" si="3"/>
        <v>21</v>
      </c>
      <c r="AG6" s="3">
        <f t="shared" si="3"/>
        <v>22</v>
      </c>
      <c r="AH6" s="3">
        <f t="shared" si="3"/>
        <v>23</v>
      </c>
      <c r="AI6" s="3">
        <f t="shared" si="3"/>
        <v>24</v>
      </c>
      <c r="AJ6" s="3">
        <f t="shared" si="3"/>
        <v>25</v>
      </c>
      <c r="AK6" s="3">
        <f t="shared" si="3"/>
        <v>26</v>
      </c>
      <c r="AL6" s="3">
        <f t="shared" si="3"/>
        <v>27</v>
      </c>
      <c r="AM6" s="3">
        <f t="shared" si="3"/>
        <v>28</v>
      </c>
      <c r="AN6" s="3">
        <f t="shared" si="3"/>
        <v>29</v>
      </c>
      <c r="AO6" s="3">
        <f t="shared" si="3"/>
        <v>30</v>
      </c>
      <c r="AP6" s="3">
        <f t="shared" si="3"/>
        <v>31</v>
      </c>
      <c r="AQ6" s="3">
        <f t="shared" si="3"/>
        <v>32</v>
      </c>
      <c r="AR6" s="3">
        <f t="shared" si="3"/>
        <v>33</v>
      </c>
      <c r="AS6" s="3">
        <f t="shared" si="3"/>
        <v>34</v>
      </c>
      <c r="AT6" s="3">
        <f t="shared" si="3"/>
        <v>35</v>
      </c>
      <c r="AU6" s="3">
        <f t="shared" si="3"/>
        <v>36</v>
      </c>
      <c r="AV6" s="3">
        <f t="shared" si="3"/>
        <v>37</v>
      </c>
      <c r="AW6" s="3">
        <f t="shared" si="3"/>
        <v>38</v>
      </c>
      <c r="AX6" s="3">
        <f t="shared" si="3"/>
        <v>39</v>
      </c>
      <c r="AY6" s="3">
        <f t="shared" si="3"/>
        <v>40</v>
      </c>
      <c r="AZ6" s="3">
        <f t="shared" si="3"/>
        <v>41</v>
      </c>
      <c r="BA6" s="3">
        <f t="shared" si="3"/>
        <v>42</v>
      </c>
      <c r="BB6" s="3">
        <f t="shared" si="3"/>
        <v>43</v>
      </c>
      <c r="BC6" s="3">
        <f t="shared" si="3"/>
        <v>44</v>
      </c>
      <c r="BD6" s="3">
        <f t="shared" si="3"/>
        <v>45</v>
      </c>
      <c r="BE6" s="3">
        <f t="shared" si="3"/>
        <v>46</v>
      </c>
      <c r="BF6" s="3">
        <f t="shared" si="3"/>
        <v>47</v>
      </c>
      <c r="BG6" s="3">
        <f t="shared" si="3"/>
        <v>48</v>
      </c>
      <c r="BH6" s="3">
        <f t="shared" si="3"/>
        <v>49</v>
      </c>
      <c r="BI6" s="3">
        <f t="shared" si="3"/>
        <v>50</v>
      </c>
      <c r="BJ6" s="3">
        <f t="shared" si="3"/>
        <v>51</v>
      </c>
      <c r="BK6" s="3">
        <f t="shared" si="3"/>
        <v>52</v>
      </c>
      <c r="BL6" s="3">
        <f t="shared" si="3"/>
        <v>53</v>
      </c>
      <c r="BM6" s="3">
        <f t="shared" si="3"/>
        <v>54</v>
      </c>
      <c r="BN6" s="3">
        <f t="shared" si="3"/>
        <v>55</v>
      </c>
      <c r="BO6" s="3">
        <f t="shared" si="3"/>
        <v>56</v>
      </c>
      <c r="BP6" s="3">
        <f t="shared" si="3"/>
        <v>57</v>
      </c>
      <c r="BQ6" s="3">
        <f t="shared" si="3"/>
        <v>58</v>
      </c>
      <c r="BR6" s="3">
        <f t="shared" si="3"/>
        <v>59</v>
      </c>
      <c r="BS6" s="3">
        <f t="shared" si="3"/>
        <v>60</v>
      </c>
      <c r="BT6" s="3">
        <f t="shared" si="3"/>
        <v>61</v>
      </c>
      <c r="BU6" s="3">
        <f t="shared" si="3"/>
        <v>62</v>
      </c>
      <c r="BV6" s="3">
        <f t="shared" si="3"/>
        <v>63</v>
      </c>
      <c r="BW6" s="3">
        <f t="shared" si="3"/>
        <v>64</v>
      </c>
      <c r="BX6" s="3">
        <f t="shared" si="3"/>
        <v>65</v>
      </c>
      <c r="BY6" s="3">
        <f t="shared" si="3"/>
        <v>66</v>
      </c>
      <c r="BZ6" s="3">
        <f t="shared" ref="BZ6:CE6" si="4">BY6+1</f>
        <v>67</v>
      </c>
      <c r="CA6" s="3">
        <f t="shared" si="4"/>
        <v>68</v>
      </c>
      <c r="CB6" s="3">
        <f t="shared" si="4"/>
        <v>69</v>
      </c>
      <c r="CC6" s="3">
        <f t="shared" si="4"/>
        <v>70</v>
      </c>
      <c r="CD6" s="3">
        <f t="shared" si="4"/>
        <v>71</v>
      </c>
      <c r="CE6" s="3">
        <f t="shared" si="4"/>
        <v>72</v>
      </c>
    </row>
    <row r="7" spans="3:86" s="3" customFormat="1">
      <c r="C7" s="3" t="s">
        <v>12</v>
      </c>
      <c r="E7" s="3" t="s">
        <v>113</v>
      </c>
      <c r="G7" s="33"/>
      <c r="I7" s="9" t="s">
        <v>114</v>
      </c>
      <c r="J7" s="43" t="s">
        <v>115</v>
      </c>
      <c r="K7" s="69"/>
      <c r="L7" s="5">
        <v>44197</v>
      </c>
      <c r="M7" s="5">
        <f>EOMONTH(L7,0)+1</f>
        <v>44228</v>
      </c>
      <c r="N7" s="5">
        <f t="shared" ref="N7:BY7" si="5">EOMONTH(M7,0)+1</f>
        <v>44256</v>
      </c>
      <c r="O7" s="5">
        <f t="shared" si="5"/>
        <v>44287</v>
      </c>
      <c r="P7" s="5">
        <f t="shared" si="5"/>
        <v>44317</v>
      </c>
      <c r="Q7" s="5">
        <f t="shared" si="5"/>
        <v>44348</v>
      </c>
      <c r="R7" s="5">
        <f t="shared" si="5"/>
        <v>44378</v>
      </c>
      <c r="S7" s="5">
        <f t="shared" si="5"/>
        <v>44409</v>
      </c>
      <c r="T7" s="5">
        <f t="shared" si="5"/>
        <v>44440</v>
      </c>
      <c r="U7" s="5">
        <f t="shared" si="5"/>
        <v>44470</v>
      </c>
      <c r="V7" s="5">
        <f t="shared" si="5"/>
        <v>44501</v>
      </c>
      <c r="W7" s="5">
        <f t="shared" si="5"/>
        <v>44531</v>
      </c>
      <c r="X7" s="5">
        <f t="shared" si="5"/>
        <v>44562</v>
      </c>
      <c r="Y7" s="5">
        <f t="shared" si="5"/>
        <v>44593</v>
      </c>
      <c r="Z7" s="5">
        <f t="shared" si="5"/>
        <v>44621</v>
      </c>
      <c r="AA7" s="5">
        <f t="shared" si="5"/>
        <v>44652</v>
      </c>
      <c r="AB7" s="5">
        <f t="shared" si="5"/>
        <v>44682</v>
      </c>
      <c r="AC7" s="5">
        <f t="shared" si="5"/>
        <v>44713</v>
      </c>
      <c r="AD7" s="5">
        <f t="shared" si="5"/>
        <v>44743</v>
      </c>
      <c r="AE7" s="5">
        <f t="shared" si="5"/>
        <v>44774</v>
      </c>
      <c r="AF7" s="5">
        <f t="shared" si="5"/>
        <v>44805</v>
      </c>
      <c r="AG7" s="5">
        <f t="shared" si="5"/>
        <v>44835</v>
      </c>
      <c r="AH7" s="5">
        <f t="shared" si="5"/>
        <v>44866</v>
      </c>
      <c r="AI7" s="5">
        <f t="shared" si="5"/>
        <v>44896</v>
      </c>
      <c r="AJ7" s="5">
        <f t="shared" si="5"/>
        <v>44927</v>
      </c>
      <c r="AK7" s="5">
        <f t="shared" si="5"/>
        <v>44958</v>
      </c>
      <c r="AL7" s="5">
        <f t="shared" si="5"/>
        <v>44986</v>
      </c>
      <c r="AM7" s="5">
        <f t="shared" si="5"/>
        <v>45017</v>
      </c>
      <c r="AN7" s="5">
        <f t="shared" si="5"/>
        <v>45047</v>
      </c>
      <c r="AO7" s="5">
        <f t="shared" si="5"/>
        <v>45078</v>
      </c>
      <c r="AP7" s="5">
        <f t="shared" si="5"/>
        <v>45108</v>
      </c>
      <c r="AQ7" s="5">
        <f t="shared" si="5"/>
        <v>45139</v>
      </c>
      <c r="AR7" s="5">
        <f t="shared" si="5"/>
        <v>45170</v>
      </c>
      <c r="AS7" s="5">
        <f t="shared" si="5"/>
        <v>45200</v>
      </c>
      <c r="AT7" s="5">
        <f t="shared" si="5"/>
        <v>45231</v>
      </c>
      <c r="AU7" s="5">
        <f t="shared" si="5"/>
        <v>45261</v>
      </c>
      <c r="AV7" s="5">
        <f t="shared" si="5"/>
        <v>45292</v>
      </c>
      <c r="AW7" s="5">
        <f t="shared" si="5"/>
        <v>45323</v>
      </c>
      <c r="AX7" s="5">
        <f t="shared" si="5"/>
        <v>45352</v>
      </c>
      <c r="AY7" s="5">
        <f t="shared" si="5"/>
        <v>45383</v>
      </c>
      <c r="AZ7" s="5">
        <f t="shared" si="5"/>
        <v>45413</v>
      </c>
      <c r="BA7" s="5">
        <f t="shared" si="5"/>
        <v>45444</v>
      </c>
      <c r="BB7" s="5">
        <f t="shared" si="5"/>
        <v>45474</v>
      </c>
      <c r="BC7" s="5">
        <f t="shared" si="5"/>
        <v>45505</v>
      </c>
      <c r="BD7" s="5">
        <f t="shared" si="5"/>
        <v>45536</v>
      </c>
      <c r="BE7" s="5">
        <f t="shared" si="5"/>
        <v>45566</v>
      </c>
      <c r="BF7" s="5">
        <f t="shared" si="5"/>
        <v>45597</v>
      </c>
      <c r="BG7" s="5">
        <f t="shared" si="5"/>
        <v>45627</v>
      </c>
      <c r="BH7" s="5">
        <f t="shared" si="5"/>
        <v>45658</v>
      </c>
      <c r="BI7" s="5">
        <f t="shared" si="5"/>
        <v>45689</v>
      </c>
      <c r="BJ7" s="5">
        <f t="shared" si="5"/>
        <v>45717</v>
      </c>
      <c r="BK7" s="5">
        <f t="shared" si="5"/>
        <v>45748</v>
      </c>
      <c r="BL7" s="5">
        <f t="shared" si="5"/>
        <v>45778</v>
      </c>
      <c r="BM7" s="5">
        <f t="shared" si="5"/>
        <v>45809</v>
      </c>
      <c r="BN7" s="5">
        <f t="shared" si="5"/>
        <v>45839</v>
      </c>
      <c r="BO7" s="5">
        <f t="shared" si="5"/>
        <v>45870</v>
      </c>
      <c r="BP7" s="5">
        <f t="shared" si="5"/>
        <v>45901</v>
      </c>
      <c r="BQ7" s="5">
        <f t="shared" si="5"/>
        <v>45931</v>
      </c>
      <c r="BR7" s="5">
        <f t="shared" si="5"/>
        <v>45962</v>
      </c>
      <c r="BS7" s="5">
        <f t="shared" si="5"/>
        <v>45992</v>
      </c>
      <c r="BT7" s="5">
        <f t="shared" si="5"/>
        <v>46023</v>
      </c>
      <c r="BU7" s="5">
        <f t="shared" si="5"/>
        <v>46054</v>
      </c>
      <c r="BV7" s="5">
        <f t="shared" si="5"/>
        <v>46082</v>
      </c>
      <c r="BW7" s="5">
        <f t="shared" si="5"/>
        <v>46113</v>
      </c>
      <c r="BX7" s="5">
        <f t="shared" si="5"/>
        <v>46143</v>
      </c>
      <c r="BY7" s="5">
        <f t="shared" si="5"/>
        <v>46174</v>
      </c>
      <c r="BZ7" s="5">
        <f t="shared" ref="BZ7:CE7" si="6">EOMONTH(BY7,0)+1</f>
        <v>46204</v>
      </c>
      <c r="CA7" s="5">
        <f t="shared" si="6"/>
        <v>46235</v>
      </c>
      <c r="CB7" s="5">
        <f t="shared" si="6"/>
        <v>46266</v>
      </c>
      <c r="CC7" s="5">
        <f t="shared" si="6"/>
        <v>46296</v>
      </c>
      <c r="CD7" s="5">
        <f t="shared" si="6"/>
        <v>46327</v>
      </c>
      <c r="CE7" s="5">
        <f t="shared" si="6"/>
        <v>46357</v>
      </c>
      <c r="CF7" s="5"/>
      <c r="CG7" s="5"/>
      <c r="CH7" s="5"/>
    </row>
    <row r="9" spans="3:86" s="3" customFormat="1">
      <c r="C9" s="3" t="str">
        <f>IF(условия!$E$9=1,условия!$C$9,IF(условия!$E$10=1,условия!$C$10,IF(условия!$E$11=1,условия!$C$11,"")))</f>
        <v>ОСНО</v>
      </c>
      <c r="E9" s="3" t="s">
        <v>16</v>
      </c>
      <c r="G9" s="33"/>
      <c r="I9" s="9" t="s">
        <v>17</v>
      </c>
      <c r="J9" s="43">
        <f>SUM(J10:J24)</f>
        <v>1792908777.7777777</v>
      </c>
      <c r="K9" s="69"/>
      <c r="L9" s="7">
        <f>SUM(L10:L24)</f>
        <v>75025000</v>
      </c>
      <c r="M9" s="7">
        <f t="shared" ref="M9:BW9" si="7">SUM(M10:M24)</f>
        <v>75025000</v>
      </c>
      <c r="N9" s="7">
        <f t="shared" si="7"/>
        <v>75025000</v>
      </c>
      <c r="O9" s="7">
        <f t="shared" si="7"/>
        <v>15025000</v>
      </c>
      <c r="P9" s="7">
        <f t="shared" si="7"/>
        <v>15025000</v>
      </c>
      <c r="Q9" s="7">
        <f t="shared" si="7"/>
        <v>15025000</v>
      </c>
      <c r="R9" s="7">
        <f t="shared" si="7"/>
        <v>12025000</v>
      </c>
      <c r="S9" s="7">
        <f t="shared" si="7"/>
        <v>12025000</v>
      </c>
      <c r="T9" s="7">
        <f t="shared" si="7"/>
        <v>12025000</v>
      </c>
      <c r="U9" s="7">
        <f t="shared" si="7"/>
        <v>4225000</v>
      </c>
      <c r="V9" s="7">
        <f t="shared" si="7"/>
        <v>4225000</v>
      </c>
      <c r="W9" s="7">
        <f t="shared" si="7"/>
        <v>4225000</v>
      </c>
      <c r="X9" s="7">
        <f t="shared" si="7"/>
        <v>4225000</v>
      </c>
      <c r="Y9" s="7">
        <f t="shared" si="7"/>
        <v>4225000</v>
      </c>
      <c r="Z9" s="7">
        <f t="shared" si="7"/>
        <v>4225000</v>
      </c>
      <c r="AA9" s="7">
        <f t="shared" si="7"/>
        <v>4225000</v>
      </c>
      <c r="AB9" s="7">
        <f t="shared" si="7"/>
        <v>4225000</v>
      </c>
      <c r="AC9" s="7">
        <f t="shared" si="7"/>
        <v>4225000</v>
      </c>
      <c r="AD9" s="7">
        <f t="shared" si="7"/>
        <v>4225000</v>
      </c>
      <c r="AE9" s="7">
        <f t="shared" si="7"/>
        <v>4225000</v>
      </c>
      <c r="AF9" s="7">
        <f t="shared" si="7"/>
        <v>4225000</v>
      </c>
      <c r="AG9" s="7">
        <f t="shared" si="7"/>
        <v>4225000</v>
      </c>
      <c r="AH9" s="7">
        <f t="shared" si="7"/>
        <v>4225000</v>
      </c>
      <c r="AI9" s="7">
        <f t="shared" si="7"/>
        <v>4225000</v>
      </c>
      <c r="AJ9" s="7">
        <f t="shared" si="7"/>
        <v>119782037.03703703</v>
      </c>
      <c r="AK9" s="7">
        <f t="shared" si="7"/>
        <v>116036496.29629628</v>
      </c>
      <c r="AL9" s="7">
        <f t="shared" si="7"/>
        <v>112290955.55555557</v>
      </c>
      <c r="AM9" s="7">
        <f t="shared" si="7"/>
        <v>108545414.81481481</v>
      </c>
      <c r="AN9" s="7">
        <f t="shared" si="7"/>
        <v>104799874.07407406</v>
      </c>
      <c r="AO9" s="7">
        <f t="shared" si="7"/>
        <v>101054333.33333334</v>
      </c>
      <c r="AP9" s="7">
        <f t="shared" si="7"/>
        <v>97308792.592592582</v>
      </c>
      <c r="AQ9" s="7">
        <f t="shared" si="7"/>
        <v>93563251.851851836</v>
      </c>
      <c r="AR9" s="7">
        <f t="shared" si="7"/>
        <v>89817711.111111119</v>
      </c>
      <c r="AS9" s="7">
        <f t="shared" si="7"/>
        <v>86572170.370370358</v>
      </c>
      <c r="AT9" s="7">
        <f t="shared" si="7"/>
        <v>82826629.629629627</v>
      </c>
      <c r="AU9" s="7">
        <f t="shared" si="7"/>
        <v>79081088.888888896</v>
      </c>
      <c r="AV9" s="7">
        <f t="shared" si="7"/>
        <v>75335548.148148134</v>
      </c>
      <c r="AW9" s="7">
        <f t="shared" si="7"/>
        <v>71590007.407407388</v>
      </c>
      <c r="AX9" s="7">
        <f t="shared" si="7"/>
        <v>67844466.666666672</v>
      </c>
      <c r="AY9" s="7">
        <f t="shared" si="7"/>
        <v>2900000</v>
      </c>
      <c r="AZ9" s="7">
        <f t="shared" si="7"/>
        <v>2900000</v>
      </c>
      <c r="BA9" s="7">
        <f t="shared" si="7"/>
        <v>2900000</v>
      </c>
      <c r="BB9" s="7">
        <f t="shared" si="7"/>
        <v>2900000</v>
      </c>
      <c r="BC9" s="7">
        <f t="shared" si="7"/>
        <v>2900000</v>
      </c>
      <c r="BD9" s="7">
        <f t="shared" si="7"/>
        <v>2900000</v>
      </c>
      <c r="BE9" s="7">
        <f t="shared" si="7"/>
        <v>2900000</v>
      </c>
      <c r="BF9" s="7">
        <f t="shared" si="7"/>
        <v>2900000</v>
      </c>
      <c r="BG9" s="7">
        <f t="shared" si="7"/>
        <v>2900000</v>
      </c>
      <c r="BH9" s="7">
        <f t="shared" si="7"/>
        <v>0</v>
      </c>
      <c r="BI9" s="7">
        <f t="shared" si="7"/>
        <v>0</v>
      </c>
      <c r="BJ9" s="7">
        <f t="shared" si="7"/>
        <v>0</v>
      </c>
      <c r="BK9" s="7">
        <f t="shared" si="7"/>
        <v>0</v>
      </c>
      <c r="BL9" s="7">
        <f t="shared" si="7"/>
        <v>0</v>
      </c>
      <c r="BM9" s="7">
        <f t="shared" si="7"/>
        <v>0</v>
      </c>
      <c r="BN9" s="7">
        <f t="shared" si="7"/>
        <v>0</v>
      </c>
      <c r="BO9" s="7">
        <f t="shared" si="7"/>
        <v>0</v>
      </c>
      <c r="BP9" s="7">
        <f t="shared" si="7"/>
        <v>0</v>
      </c>
      <c r="BQ9" s="7">
        <f t="shared" si="7"/>
        <v>0</v>
      </c>
      <c r="BR9" s="7">
        <f t="shared" si="7"/>
        <v>0</v>
      </c>
      <c r="BS9" s="7">
        <f t="shared" si="7"/>
        <v>0</v>
      </c>
      <c r="BT9" s="7">
        <f t="shared" si="7"/>
        <v>0</v>
      </c>
      <c r="BU9" s="7">
        <f t="shared" si="7"/>
        <v>0</v>
      </c>
      <c r="BV9" s="7">
        <f t="shared" si="7"/>
        <v>0</v>
      </c>
      <c r="BW9" s="7">
        <f t="shared" si="7"/>
        <v>0</v>
      </c>
      <c r="BX9" s="7">
        <f t="shared" ref="BX9:CE9" si="8">SUM(BX10:BX24)</f>
        <v>0</v>
      </c>
      <c r="BY9" s="7">
        <f t="shared" si="8"/>
        <v>0</v>
      </c>
      <c r="BZ9" s="7">
        <f t="shared" si="8"/>
        <v>0</v>
      </c>
      <c r="CA9" s="7">
        <f t="shared" si="8"/>
        <v>0</v>
      </c>
      <c r="CB9" s="7">
        <f t="shared" si="8"/>
        <v>0</v>
      </c>
      <c r="CC9" s="7">
        <f t="shared" si="8"/>
        <v>0</v>
      </c>
      <c r="CD9" s="7">
        <f t="shared" si="8"/>
        <v>0</v>
      </c>
      <c r="CE9" s="7">
        <f t="shared" si="8"/>
        <v>0</v>
      </c>
    </row>
    <row r="10" spans="3:86" s="55" customFormat="1">
      <c r="C10" s="55" t="str">
        <f>IF(условия!$E$9=1,условия!$C$9,IF(условия!$E$10=1,условия!$C$10,IF(условия!$E$11=1,условия!$C$11,"")))</f>
        <v>ОСНО</v>
      </c>
      <c r="E10" s="55" t="s">
        <v>65</v>
      </c>
      <c r="G10" s="33"/>
      <c r="H10" s="56"/>
      <c r="I10" s="57" t="s">
        <v>17</v>
      </c>
      <c r="J10" s="58">
        <f t="shared" ref="J10:J16" si="9">SUM($K10:$CF10)</f>
        <v>120000000</v>
      </c>
      <c r="K10" s="69" t="s">
        <v>61</v>
      </c>
      <c r="L10" s="59">
        <v>40000000</v>
      </c>
      <c r="M10" s="59">
        <v>40000000</v>
      </c>
      <c r="N10" s="59">
        <v>40000000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</row>
    <row r="11" spans="3:86" s="55" customFormat="1">
      <c r="C11" s="55" t="str">
        <f>IF(условия!$E$9=1,условия!$C$9,IF(условия!$E$10=1,условия!$C$10,IF(условия!$E$11=1,условия!$C$11,"")))</f>
        <v>ОСНО</v>
      </c>
      <c r="E11" s="55" t="s">
        <v>62</v>
      </c>
      <c r="G11" s="33"/>
      <c r="H11" s="56"/>
      <c r="I11" s="57" t="s">
        <v>17</v>
      </c>
      <c r="J11" s="58">
        <f t="shared" si="9"/>
        <v>186000000</v>
      </c>
      <c r="K11" s="69" t="s">
        <v>61</v>
      </c>
      <c r="L11" s="59">
        <v>35000000</v>
      </c>
      <c r="M11" s="59">
        <v>35000000</v>
      </c>
      <c r="N11" s="59">
        <v>35000000</v>
      </c>
      <c r="O11" s="59">
        <v>15000000</v>
      </c>
      <c r="P11" s="59">
        <v>15000000</v>
      </c>
      <c r="Q11" s="59">
        <v>15000000</v>
      </c>
      <c r="R11" s="59">
        <v>12000000</v>
      </c>
      <c r="S11" s="59">
        <v>12000000</v>
      </c>
      <c r="T11" s="59">
        <v>12000000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</row>
    <row r="12" spans="3:86" s="55" customFormat="1">
      <c r="C12" s="55" t="str">
        <f>IF(условия!$E$9=1,условия!$C$9,IF(условия!$E$10=1,условия!$C$10,IF(условия!$E$11=1,условия!$C$11,"")))</f>
        <v>ОСНО</v>
      </c>
      <c r="E12" s="55" t="s">
        <v>63</v>
      </c>
      <c r="G12" s="33"/>
      <c r="H12" s="56"/>
      <c r="I12" s="57" t="s">
        <v>17</v>
      </c>
      <c r="J12" s="58">
        <f t="shared" si="9"/>
        <v>78000000</v>
      </c>
      <c r="K12" s="69" t="s">
        <v>61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2000000</v>
      </c>
      <c r="V12" s="59">
        <v>2000000</v>
      </c>
      <c r="W12" s="59">
        <v>2000000</v>
      </c>
      <c r="X12" s="59">
        <v>2000000</v>
      </c>
      <c r="Y12" s="59">
        <v>2000000</v>
      </c>
      <c r="Z12" s="59">
        <v>2000000</v>
      </c>
      <c r="AA12" s="59">
        <v>2000000</v>
      </c>
      <c r="AB12" s="59">
        <v>2000000</v>
      </c>
      <c r="AC12" s="59">
        <v>2000000</v>
      </c>
      <c r="AD12" s="59">
        <v>2000000</v>
      </c>
      <c r="AE12" s="59">
        <v>2000000</v>
      </c>
      <c r="AF12" s="59">
        <v>2000000</v>
      </c>
      <c r="AG12" s="59">
        <v>2000000</v>
      </c>
      <c r="AH12" s="59">
        <v>2000000</v>
      </c>
      <c r="AI12" s="59">
        <v>2000000</v>
      </c>
      <c r="AJ12" s="59">
        <v>2000000</v>
      </c>
      <c r="AK12" s="59">
        <v>2000000</v>
      </c>
      <c r="AL12" s="59">
        <v>2000000</v>
      </c>
      <c r="AM12" s="59">
        <v>2000000</v>
      </c>
      <c r="AN12" s="59">
        <v>2000000</v>
      </c>
      <c r="AO12" s="59">
        <v>2000000</v>
      </c>
      <c r="AP12" s="59">
        <v>2000000</v>
      </c>
      <c r="AQ12" s="59">
        <v>2000000</v>
      </c>
      <c r="AR12" s="59">
        <v>2000000</v>
      </c>
      <c r="AS12" s="59">
        <v>2000000</v>
      </c>
      <c r="AT12" s="59">
        <v>2000000</v>
      </c>
      <c r="AU12" s="59">
        <v>2000000</v>
      </c>
      <c r="AV12" s="59">
        <v>2000000</v>
      </c>
      <c r="AW12" s="59">
        <v>2000000</v>
      </c>
      <c r="AX12" s="59">
        <v>2000000</v>
      </c>
      <c r="AY12" s="59">
        <v>2000000</v>
      </c>
      <c r="AZ12" s="59">
        <v>2000000</v>
      </c>
      <c r="BA12" s="59">
        <v>2000000</v>
      </c>
      <c r="BB12" s="59">
        <v>2000000</v>
      </c>
      <c r="BC12" s="59">
        <v>2000000</v>
      </c>
      <c r="BD12" s="59">
        <v>2000000</v>
      </c>
      <c r="BE12" s="59">
        <v>2000000</v>
      </c>
      <c r="BF12" s="59">
        <v>2000000</v>
      </c>
      <c r="BG12" s="59">
        <v>2000000</v>
      </c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</row>
    <row r="13" spans="3:86" s="55" customFormat="1">
      <c r="C13" s="55" t="str">
        <f>IF(условия!$E$9=1,условия!$C$9,IF(условия!$E$10=1,условия!$C$10,IF(условия!$E$11=1,условия!$C$11,"")))</f>
        <v>ОСНО</v>
      </c>
      <c r="E13" s="55" t="s">
        <v>64</v>
      </c>
      <c r="G13" s="33"/>
      <c r="H13" s="56"/>
      <c r="I13" s="57" t="s">
        <v>17</v>
      </c>
      <c r="J13" s="58">
        <f t="shared" si="9"/>
        <v>35100000</v>
      </c>
      <c r="K13" s="69" t="s">
        <v>61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900000</v>
      </c>
      <c r="V13" s="59">
        <v>900000</v>
      </c>
      <c r="W13" s="59">
        <v>900000</v>
      </c>
      <c r="X13" s="59">
        <v>900000</v>
      </c>
      <c r="Y13" s="59">
        <v>900000</v>
      </c>
      <c r="Z13" s="59">
        <v>900000</v>
      </c>
      <c r="AA13" s="59">
        <v>900000</v>
      </c>
      <c r="AB13" s="59">
        <v>900000</v>
      </c>
      <c r="AC13" s="59">
        <v>900000</v>
      </c>
      <c r="AD13" s="59">
        <v>900000</v>
      </c>
      <c r="AE13" s="59">
        <v>900000</v>
      </c>
      <c r="AF13" s="59">
        <v>900000</v>
      </c>
      <c r="AG13" s="59">
        <v>900000</v>
      </c>
      <c r="AH13" s="59">
        <v>900000</v>
      </c>
      <c r="AI13" s="59">
        <v>900000</v>
      </c>
      <c r="AJ13" s="59">
        <v>900000</v>
      </c>
      <c r="AK13" s="59">
        <v>900000</v>
      </c>
      <c r="AL13" s="59">
        <v>900000</v>
      </c>
      <c r="AM13" s="59">
        <v>900000</v>
      </c>
      <c r="AN13" s="59">
        <v>900000</v>
      </c>
      <c r="AO13" s="59">
        <v>900000</v>
      </c>
      <c r="AP13" s="59">
        <v>900000</v>
      </c>
      <c r="AQ13" s="59">
        <v>900000</v>
      </c>
      <c r="AR13" s="59">
        <v>900000</v>
      </c>
      <c r="AS13" s="59">
        <v>900000</v>
      </c>
      <c r="AT13" s="59">
        <v>900000</v>
      </c>
      <c r="AU13" s="59">
        <v>900000</v>
      </c>
      <c r="AV13" s="59">
        <v>900000</v>
      </c>
      <c r="AW13" s="59">
        <v>900000</v>
      </c>
      <c r="AX13" s="59">
        <v>900000</v>
      </c>
      <c r="AY13" s="59">
        <v>900000</v>
      </c>
      <c r="AZ13" s="59">
        <v>900000</v>
      </c>
      <c r="BA13" s="59">
        <v>900000</v>
      </c>
      <c r="BB13" s="59">
        <v>900000</v>
      </c>
      <c r="BC13" s="59">
        <v>900000</v>
      </c>
      <c r="BD13" s="59">
        <v>900000</v>
      </c>
      <c r="BE13" s="59">
        <v>900000</v>
      </c>
      <c r="BF13" s="59">
        <v>900000</v>
      </c>
      <c r="BG13" s="59">
        <v>900000</v>
      </c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</row>
    <row r="14" spans="3:86" s="55" customFormat="1">
      <c r="C14" s="55" t="str">
        <f>IF(условия!$E$9=1,условия!$C$9,IF(условия!$E$10=1,условия!$C$10,IF(условия!$E$11=1,условия!$C$11,"")))</f>
        <v>ОСНО</v>
      </c>
      <c r="E14" s="55" t="s">
        <v>4</v>
      </c>
      <c r="G14" s="33"/>
      <c r="H14" s="56"/>
      <c r="I14" s="57" t="s">
        <v>17</v>
      </c>
      <c r="J14" s="58">
        <f t="shared" si="9"/>
        <v>3000000</v>
      </c>
      <c r="K14" s="69" t="s">
        <v>61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500000</v>
      </c>
      <c r="AT14" s="59">
        <v>500000</v>
      </c>
      <c r="AU14" s="59">
        <v>500000</v>
      </c>
      <c r="AV14" s="59">
        <v>500000</v>
      </c>
      <c r="AW14" s="59">
        <v>500000</v>
      </c>
      <c r="AX14" s="59">
        <v>500000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</row>
    <row r="15" spans="3:86" s="55" customFormat="1">
      <c r="C15" s="55" t="str">
        <f>IF(условия!$E$9=1,условия!$C$9,IF(условия!$E$10=1,условия!$C$10,IF(условия!$E$11=1,условия!$C$11,"")))</f>
        <v>ОСНО</v>
      </c>
      <c r="E15" s="55" t="s">
        <v>66</v>
      </c>
      <c r="G15" s="33"/>
      <c r="H15" s="56"/>
      <c r="I15" s="57" t="s">
        <v>17</v>
      </c>
      <c r="J15" s="58">
        <f t="shared" si="9"/>
        <v>39000000</v>
      </c>
      <c r="K15" s="69" t="s">
        <v>61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1300000</v>
      </c>
      <c r="V15" s="59">
        <v>1300000</v>
      </c>
      <c r="W15" s="59">
        <v>1300000</v>
      </c>
      <c r="X15" s="59">
        <v>1300000</v>
      </c>
      <c r="Y15" s="59">
        <v>1300000</v>
      </c>
      <c r="Z15" s="59">
        <v>1300000</v>
      </c>
      <c r="AA15" s="59">
        <v>1300000</v>
      </c>
      <c r="AB15" s="59">
        <v>1300000</v>
      </c>
      <c r="AC15" s="59">
        <v>1300000</v>
      </c>
      <c r="AD15" s="59">
        <v>1300000</v>
      </c>
      <c r="AE15" s="59">
        <v>1300000</v>
      </c>
      <c r="AF15" s="59">
        <v>1300000</v>
      </c>
      <c r="AG15" s="59">
        <v>1300000</v>
      </c>
      <c r="AH15" s="59">
        <v>1300000</v>
      </c>
      <c r="AI15" s="59">
        <v>1300000</v>
      </c>
      <c r="AJ15" s="59">
        <v>1300000</v>
      </c>
      <c r="AK15" s="59">
        <v>1300000</v>
      </c>
      <c r="AL15" s="59">
        <v>1300000</v>
      </c>
      <c r="AM15" s="59">
        <v>1300000</v>
      </c>
      <c r="AN15" s="59">
        <v>1300000</v>
      </c>
      <c r="AO15" s="59">
        <v>1300000</v>
      </c>
      <c r="AP15" s="59">
        <v>1300000</v>
      </c>
      <c r="AQ15" s="59">
        <v>1300000</v>
      </c>
      <c r="AR15" s="59">
        <v>1300000</v>
      </c>
      <c r="AS15" s="59">
        <v>1300000</v>
      </c>
      <c r="AT15" s="59">
        <v>1300000</v>
      </c>
      <c r="AU15" s="59">
        <v>1300000</v>
      </c>
      <c r="AV15" s="59">
        <v>1300000</v>
      </c>
      <c r="AW15" s="59">
        <v>1300000</v>
      </c>
      <c r="AX15" s="59">
        <v>1300000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</row>
    <row r="16" spans="3:86" s="55" customFormat="1">
      <c r="C16" s="55" t="str">
        <f>IF(условия!$E$9=1,условия!$C$9,IF(условия!$E$10=1,условия!$C$10,IF(условия!$E$11=1,условия!$C$11,"")))</f>
        <v>ОСНО</v>
      </c>
      <c r="E16" s="55" t="s">
        <v>67</v>
      </c>
      <c r="G16" s="33"/>
      <c r="H16" s="56"/>
      <c r="I16" s="57" t="s">
        <v>17</v>
      </c>
      <c r="J16" s="58">
        <f t="shared" si="9"/>
        <v>975000</v>
      </c>
      <c r="K16" s="69" t="s">
        <v>61</v>
      </c>
      <c r="L16" s="59">
        <v>25000</v>
      </c>
      <c r="M16" s="59">
        <v>25000</v>
      </c>
      <c r="N16" s="59">
        <v>25000</v>
      </c>
      <c r="O16" s="59">
        <v>25000</v>
      </c>
      <c r="P16" s="59">
        <v>25000</v>
      </c>
      <c r="Q16" s="59">
        <v>25000</v>
      </c>
      <c r="R16" s="59">
        <v>25000</v>
      </c>
      <c r="S16" s="59">
        <v>25000</v>
      </c>
      <c r="T16" s="59">
        <v>25000</v>
      </c>
      <c r="U16" s="59">
        <v>25000</v>
      </c>
      <c r="V16" s="59">
        <v>25000</v>
      </c>
      <c r="W16" s="59">
        <v>25000</v>
      </c>
      <c r="X16" s="59">
        <v>25000</v>
      </c>
      <c r="Y16" s="59">
        <v>25000</v>
      </c>
      <c r="Z16" s="59">
        <v>25000</v>
      </c>
      <c r="AA16" s="59">
        <v>25000</v>
      </c>
      <c r="AB16" s="59">
        <v>25000</v>
      </c>
      <c r="AC16" s="59">
        <v>25000</v>
      </c>
      <c r="AD16" s="59">
        <v>25000</v>
      </c>
      <c r="AE16" s="59">
        <v>25000</v>
      </c>
      <c r="AF16" s="59">
        <v>25000</v>
      </c>
      <c r="AG16" s="59">
        <v>25000</v>
      </c>
      <c r="AH16" s="59">
        <v>25000</v>
      </c>
      <c r="AI16" s="59">
        <v>25000</v>
      </c>
      <c r="AJ16" s="59">
        <v>25000</v>
      </c>
      <c r="AK16" s="59">
        <v>25000</v>
      </c>
      <c r="AL16" s="59">
        <v>25000</v>
      </c>
      <c r="AM16" s="59">
        <v>25000</v>
      </c>
      <c r="AN16" s="59">
        <v>25000</v>
      </c>
      <c r="AO16" s="59">
        <v>25000</v>
      </c>
      <c r="AP16" s="59">
        <v>25000</v>
      </c>
      <c r="AQ16" s="59">
        <v>25000</v>
      </c>
      <c r="AR16" s="59">
        <v>25000</v>
      </c>
      <c r="AS16" s="59">
        <v>25000</v>
      </c>
      <c r="AT16" s="59">
        <v>25000</v>
      </c>
      <c r="AU16" s="59">
        <v>25000</v>
      </c>
      <c r="AV16" s="59">
        <v>25000</v>
      </c>
      <c r="AW16" s="59">
        <v>25000</v>
      </c>
      <c r="AX16" s="59">
        <v>25000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</row>
    <row r="17" spans="3:83" s="3" customFormat="1">
      <c r="C17" s="3" t="str">
        <f>IF(условия!$E$9=1,условия!$C$9,IF(условия!$E$10=1,условия!$C$10,IF(условия!$E$11=1,условия!$C$11,"")))</f>
        <v>ОСНО</v>
      </c>
      <c r="E17" s="3" t="s">
        <v>18</v>
      </c>
      <c r="G17" s="33"/>
      <c r="I17" s="9" t="s">
        <v>17</v>
      </c>
      <c r="J17" s="43">
        <f>условия!$E$21*условия!$E$22</f>
        <v>770000000</v>
      </c>
      <c r="K17" s="69"/>
      <c r="L17" s="7">
        <f>IF(OR(L$7&lt;условия!$E$17,L$7&gt;условия!$E$18),0,(-L$1+MAX($1:$1))*($J17/((MAX($1:$1)*(MAX($1:$1)+1)/2))))</f>
        <v>0</v>
      </c>
      <c r="M17" s="7">
        <f>IF(OR(M$7&lt;условия!$E$17,M$7&gt;условия!$E$18),0,(-M$1+MAX($1:$1))*($J17/((MAX($1:$1)*(MAX($1:$1)+1)/2))))</f>
        <v>0</v>
      </c>
      <c r="N17" s="7">
        <f>IF(OR(N$7&lt;условия!$E$17,N$7&gt;условия!$E$18),0,(-N$1+MAX($1:$1))*($J17/((MAX($1:$1)*(MAX($1:$1)+1)/2))))</f>
        <v>0</v>
      </c>
      <c r="O17" s="7">
        <f>IF(OR(O$7&lt;условия!$E$17,O$7&gt;условия!$E$18),0,(-O$1+MAX($1:$1))*($J17/((MAX($1:$1)*(MAX($1:$1)+1)/2))))</f>
        <v>0</v>
      </c>
      <c r="P17" s="7">
        <f>IF(OR(P$7&lt;условия!$E$17,P$7&gt;условия!$E$18),0,(-P$1+MAX($1:$1))*($J17/((MAX($1:$1)*(MAX($1:$1)+1)/2))))</f>
        <v>0</v>
      </c>
      <c r="Q17" s="7">
        <f>IF(OR(Q$7&lt;условия!$E$17,Q$7&gt;условия!$E$18),0,(-Q$1+MAX($1:$1))*($J17/((MAX($1:$1)*(MAX($1:$1)+1)/2))))</f>
        <v>0</v>
      </c>
      <c r="R17" s="7">
        <f>IF(OR(R$7&lt;условия!$E$17,R$7&gt;условия!$E$18),0,(-R$1+MAX($1:$1))*($J17/((MAX($1:$1)*(MAX($1:$1)+1)/2))))</f>
        <v>0</v>
      </c>
      <c r="S17" s="7">
        <f>IF(OR(S$7&lt;условия!$E$17,S$7&gt;условия!$E$18),0,(-S$1+MAX($1:$1))*($J17/((MAX($1:$1)*(MAX($1:$1)+1)/2))))</f>
        <v>0</v>
      </c>
      <c r="T17" s="7">
        <f>IF(OR(T$7&lt;условия!$E$17,T$7&gt;условия!$E$18),0,(-T$1+MAX($1:$1))*($J17/((MAX($1:$1)*(MAX($1:$1)+1)/2))))</f>
        <v>0</v>
      </c>
      <c r="U17" s="7">
        <f>IF(OR(U$7&lt;условия!$E$17,U$7&gt;условия!$E$18),0,(-U$1+MAX($1:$1))*($J17/((MAX($1:$1)*(MAX($1:$1)+1)/2))))</f>
        <v>0</v>
      </c>
      <c r="V17" s="7">
        <f>IF(OR(V$7&lt;условия!$E$17,V$7&gt;условия!$E$18),0,(-V$1+MAX($1:$1))*($J17/((MAX($1:$1)*(MAX($1:$1)+1)/2))))</f>
        <v>0</v>
      </c>
      <c r="W17" s="7">
        <f>IF(OR(W$7&lt;условия!$E$17,W$7&gt;условия!$E$18),0,(-W$1+MAX($1:$1))*($J17/((MAX($1:$1)*(MAX($1:$1)+1)/2))))</f>
        <v>0</v>
      </c>
      <c r="X17" s="7">
        <f>IF(OR(X$7&lt;условия!$E$17,X$7&gt;условия!$E$18),0,(-X$1+MAX($1:$1))*($J17/((MAX($1:$1)*(MAX($1:$1)+1)/2))))</f>
        <v>0</v>
      </c>
      <c r="Y17" s="7">
        <f>IF(OR(Y$7&lt;условия!$E$17,Y$7&gt;условия!$E$18),0,(-Y$1+MAX($1:$1))*($J17/((MAX($1:$1)*(MAX($1:$1)+1)/2))))</f>
        <v>0</v>
      </c>
      <c r="Z17" s="7">
        <f>IF(OR(Z$7&lt;условия!$E$17,Z$7&gt;условия!$E$18),0,(-Z$1+MAX($1:$1))*($J17/((MAX($1:$1)*(MAX($1:$1)+1)/2))))</f>
        <v>0</v>
      </c>
      <c r="AA17" s="7">
        <f>IF(OR(AA$7&lt;условия!$E$17,AA$7&gt;условия!$E$18),0,(-AA$1+MAX($1:$1))*($J17/((MAX($1:$1)*(MAX($1:$1)+1)/2))))</f>
        <v>0</v>
      </c>
      <c r="AB17" s="7">
        <f>IF(OR(AB$7&lt;условия!$E$17,AB$7&gt;условия!$E$18),0,(-AB$1+MAX($1:$1))*($J17/((MAX($1:$1)*(MAX($1:$1)+1)/2))))</f>
        <v>0</v>
      </c>
      <c r="AC17" s="7">
        <f>IF(OR(AC$7&lt;условия!$E$17,AC$7&gt;условия!$E$18),0,(-AC$1+MAX($1:$1))*($J17/((MAX($1:$1)*(MAX($1:$1)+1)/2))))</f>
        <v>0</v>
      </c>
      <c r="AD17" s="7">
        <f>IF(OR(AD$7&lt;условия!$E$17,AD$7&gt;условия!$E$18),0,(-AD$1+MAX($1:$1))*($J17/((MAX($1:$1)*(MAX($1:$1)+1)/2))))</f>
        <v>0</v>
      </c>
      <c r="AE17" s="7">
        <f>IF(OR(AE$7&lt;условия!$E$17,AE$7&gt;условия!$E$18),0,(-AE$1+MAX($1:$1))*($J17/((MAX($1:$1)*(MAX($1:$1)+1)/2))))</f>
        <v>0</v>
      </c>
      <c r="AF17" s="7">
        <f>IF(OR(AF$7&lt;условия!$E$17,AF$7&gt;условия!$E$18),0,(-AF$1+MAX($1:$1))*($J17/((MAX($1:$1)*(MAX($1:$1)+1)/2))))</f>
        <v>0</v>
      </c>
      <c r="AG17" s="7">
        <f>IF(OR(AG$7&lt;условия!$E$17,AG$7&gt;условия!$E$18),0,(-AG$1+MAX($1:$1))*($J17/((MAX($1:$1)*(MAX($1:$1)+1)/2))))</f>
        <v>0</v>
      </c>
      <c r="AH17" s="7">
        <f>IF(OR(AH$7&lt;условия!$E$17,AH$7&gt;условия!$E$18),0,(-AH$1+MAX($1:$1))*($J17/((MAX($1:$1)*(MAX($1:$1)+1)/2))))</f>
        <v>0</v>
      </c>
      <c r="AI17" s="7">
        <f>IF(OR(AI$7&lt;условия!$E$17,AI$7&gt;условия!$E$18),0,(-AI$1+MAX($1:$1))*($J17/((MAX($1:$1)*(MAX($1:$1)+1)/2))))</f>
        <v>0</v>
      </c>
      <c r="AJ17" s="7">
        <f>IF(OR(AJ$7&lt;условия!$E$17,AJ$7&gt;условия!$E$18),0,(-AJ$1+MAX($1:$1))*($J17/((MAX($1:$1)*(MAX($1:$1)+1)/2))))</f>
        <v>102666666.66666666</v>
      </c>
      <c r="AK17" s="7">
        <f>IF(OR(AK$7&lt;условия!$E$17,AK$7&gt;условия!$E$18),0,(-AK$1+MAX($1:$1))*($J17/((MAX($1:$1)*(MAX($1:$1)+1)/2))))</f>
        <v>95333333.333333328</v>
      </c>
      <c r="AL17" s="7">
        <f>IF(OR(AL$7&lt;условия!$E$17,AL$7&gt;условия!$E$18),0,(-AL$1+MAX($1:$1))*($J17/((MAX($1:$1)*(MAX($1:$1)+1)/2))))</f>
        <v>88000000</v>
      </c>
      <c r="AM17" s="7">
        <f>IF(OR(AM$7&lt;условия!$E$17,AM$7&gt;условия!$E$18),0,(-AM$1+MAX($1:$1))*($J17/((MAX($1:$1)*(MAX($1:$1)+1)/2))))</f>
        <v>80666666.666666657</v>
      </c>
      <c r="AN17" s="7">
        <f>IF(OR(AN$7&lt;условия!$E$17,AN$7&gt;условия!$E$18),0,(-AN$1+MAX($1:$1))*($J17/((MAX($1:$1)*(MAX($1:$1)+1)/2))))</f>
        <v>73333333.333333328</v>
      </c>
      <c r="AO17" s="7">
        <f>IF(OR(AO$7&lt;условия!$E$17,AO$7&gt;условия!$E$18),0,(-AO$1+MAX($1:$1))*($J17/((MAX($1:$1)*(MAX($1:$1)+1)/2))))</f>
        <v>66000000</v>
      </c>
      <c r="AP17" s="7">
        <f>IF(OR(AP$7&lt;условия!$E$17,AP$7&gt;условия!$E$18),0,(-AP$1+MAX($1:$1))*($J17/((MAX($1:$1)*(MAX($1:$1)+1)/2))))</f>
        <v>58666666.666666664</v>
      </c>
      <c r="AQ17" s="7">
        <f>IF(OR(AQ$7&lt;условия!$E$17,AQ$7&gt;условия!$E$18),0,(-AQ$1+MAX($1:$1))*($J17/((MAX($1:$1)*(MAX($1:$1)+1)/2))))</f>
        <v>51333333.333333328</v>
      </c>
      <c r="AR17" s="7">
        <f>IF(OR(AR$7&lt;условия!$E$17,AR$7&gt;условия!$E$18),0,(-AR$1+MAX($1:$1))*($J17/((MAX($1:$1)*(MAX($1:$1)+1)/2))))</f>
        <v>44000000</v>
      </c>
      <c r="AS17" s="7">
        <f>IF(OR(AS$7&lt;условия!$E$17,AS$7&gt;условия!$E$18),0,(-AS$1+MAX($1:$1))*($J17/((MAX($1:$1)*(MAX($1:$1)+1)/2))))</f>
        <v>36666666.666666664</v>
      </c>
      <c r="AT17" s="7">
        <f>IF(OR(AT$7&lt;условия!$E$17,AT$7&gt;условия!$E$18),0,(-AT$1+MAX($1:$1))*($J17/((MAX($1:$1)*(MAX($1:$1)+1)/2))))</f>
        <v>29333333.333333332</v>
      </c>
      <c r="AU17" s="7">
        <f>IF(OR(AU$7&lt;условия!$E$17,AU$7&gt;условия!$E$18),0,(-AU$1+MAX($1:$1))*($J17/((MAX($1:$1)*(MAX($1:$1)+1)/2))))</f>
        <v>22000000</v>
      </c>
      <c r="AV17" s="7">
        <f>IF(OR(AV$7&lt;условия!$E$17,AV$7&gt;условия!$E$18),0,(-AV$1+MAX($1:$1))*($J17/((MAX($1:$1)*(MAX($1:$1)+1)/2))))</f>
        <v>14666666.666666666</v>
      </c>
      <c r="AW17" s="7">
        <f>IF(OR(AW$7&lt;условия!$E$17,AW$7&gt;условия!$E$18),0,(-AW$1+MAX($1:$1))*($J17/((MAX($1:$1)*(MAX($1:$1)+1)/2))))</f>
        <v>7333333.333333333</v>
      </c>
      <c r="AX17" s="7">
        <f>IF(OR(AX$7&lt;условия!$E$17,AX$7&gt;условия!$E$18),0,(-AX$1+MAX($1:$1))*($J17/((MAX($1:$1)*(MAX($1:$1)+1)/2))))</f>
        <v>0</v>
      </c>
      <c r="AY17" s="7">
        <f>IF(OR(AY$7&lt;условия!$E$17,AY$7&gt;условия!$E$18),0,(-AY$1+MAX($1:$1))*($J17/((MAX($1:$1)*(MAX($1:$1)+1)/2))))</f>
        <v>0</v>
      </c>
      <c r="AZ17" s="7">
        <f>IF(OR(AZ$7&lt;условия!$E$17,AZ$7&gt;условия!$E$18),0,(-AZ$1+MAX($1:$1))*($J17/((MAX($1:$1)*(MAX($1:$1)+1)/2))))</f>
        <v>0</v>
      </c>
      <c r="BA17" s="7">
        <f>IF(OR(BA$7&lt;условия!$E$17,BA$7&gt;условия!$E$18),0,(-BA$1+MAX($1:$1))*($J17/((MAX($1:$1)*(MAX($1:$1)+1)/2))))</f>
        <v>0</v>
      </c>
      <c r="BB17" s="7">
        <f>IF(OR(BB$7&lt;условия!$E$17,BB$7&gt;условия!$E$18),0,(-BB$1+MAX($1:$1))*($J17/((MAX($1:$1)*(MAX($1:$1)+1)/2))))</f>
        <v>0</v>
      </c>
      <c r="BC17" s="7">
        <f>IF(OR(BC$7&lt;условия!$E$17,BC$7&gt;условия!$E$18),0,(-BC$1+MAX($1:$1))*($J17/((MAX($1:$1)*(MAX($1:$1)+1)/2))))</f>
        <v>0</v>
      </c>
      <c r="BD17" s="7">
        <f>IF(OR(BD$7&lt;условия!$E$17,BD$7&gt;условия!$E$18),0,(-BD$1+MAX($1:$1))*($J17/((MAX($1:$1)*(MAX($1:$1)+1)/2))))</f>
        <v>0</v>
      </c>
      <c r="BE17" s="7">
        <f>IF(OR(BE$7&lt;условия!$E$17,BE$7&gt;условия!$E$18),0,(-BE$1+MAX($1:$1))*($J17/((MAX($1:$1)*(MAX($1:$1)+1)/2))))</f>
        <v>0</v>
      </c>
      <c r="BF17" s="7">
        <f>IF(OR(BF$7&lt;условия!$E$17,BF$7&gt;условия!$E$18),0,(-BF$1+MAX($1:$1))*($J17/((MAX($1:$1)*(MAX($1:$1)+1)/2))))</f>
        <v>0</v>
      </c>
      <c r="BG17" s="7">
        <f>IF(OR(BG$7&lt;условия!$E$17,BG$7&gt;условия!$E$18),0,(-BG$1+MAX($1:$1))*($J17/((MAX($1:$1)*(MAX($1:$1)+1)/2))))</f>
        <v>0</v>
      </c>
      <c r="BH17" s="7">
        <f>IF(OR(BH$7&lt;условия!$E$17,BH$7&gt;условия!$E$18),0,(-BH$1+MAX($1:$1))*($J17/((MAX($1:$1)*(MAX($1:$1)+1)/2))))</f>
        <v>0</v>
      </c>
      <c r="BI17" s="7">
        <f>IF(OR(BI$7&lt;условия!$E$17,BI$7&gt;условия!$E$18),0,(-BI$1+MAX($1:$1))*($J17/((MAX($1:$1)*(MAX($1:$1)+1)/2))))</f>
        <v>0</v>
      </c>
      <c r="BJ17" s="7">
        <f>IF(OR(BJ$7&lt;условия!$E$17,BJ$7&gt;условия!$E$18),0,(-BJ$1+MAX($1:$1))*($J17/((MAX($1:$1)*(MAX($1:$1)+1)/2))))</f>
        <v>0</v>
      </c>
      <c r="BK17" s="7">
        <f>IF(OR(BK$7&lt;условия!$E$17,BK$7&gt;условия!$E$18),0,(-BK$1+MAX($1:$1))*($J17/((MAX($1:$1)*(MAX($1:$1)+1)/2))))</f>
        <v>0</v>
      </c>
      <c r="BL17" s="7">
        <f>IF(OR(BL$7&lt;условия!$E$17,BL$7&gt;условия!$E$18),0,(-BL$1+MAX($1:$1))*($J17/((MAX($1:$1)*(MAX($1:$1)+1)/2))))</f>
        <v>0</v>
      </c>
      <c r="BM17" s="7">
        <f>IF(OR(BM$7&lt;условия!$E$17,BM$7&gt;условия!$E$18),0,(-BM$1+MAX($1:$1))*($J17/((MAX($1:$1)*(MAX($1:$1)+1)/2))))</f>
        <v>0</v>
      </c>
      <c r="BN17" s="7">
        <f>IF(OR(BN$7&lt;условия!$E$17,BN$7&gt;условия!$E$18),0,(-BN$1+MAX($1:$1))*($J17/((MAX($1:$1)*(MAX($1:$1)+1)/2))))</f>
        <v>0</v>
      </c>
      <c r="BO17" s="7">
        <f>IF(OR(BO$7&lt;условия!$E$17,BO$7&gt;условия!$E$18),0,(-BO$1+MAX($1:$1))*($J17/((MAX($1:$1)*(MAX($1:$1)+1)/2))))</f>
        <v>0</v>
      </c>
      <c r="BP17" s="7">
        <f>IF(OR(BP$7&lt;условия!$E$17,BP$7&gt;условия!$E$18),0,(-BP$1+MAX($1:$1))*($J17/((MAX($1:$1)*(MAX($1:$1)+1)/2))))</f>
        <v>0</v>
      </c>
      <c r="BQ17" s="7">
        <f>IF(OR(BQ$7&lt;условия!$E$17,BQ$7&gt;условия!$E$18),0,(-BQ$1+MAX($1:$1))*($J17/((MAX($1:$1)*(MAX($1:$1)+1)/2))))</f>
        <v>0</v>
      </c>
      <c r="BR17" s="7">
        <f>IF(OR(BR$7&lt;условия!$E$17,BR$7&gt;условия!$E$18),0,(-BR$1+MAX($1:$1))*($J17/((MAX($1:$1)*(MAX($1:$1)+1)/2))))</f>
        <v>0</v>
      </c>
      <c r="BS17" s="7">
        <f>IF(OR(BS$7&lt;условия!$E$17,BS$7&gt;условия!$E$18),0,(-BS$1+MAX($1:$1))*($J17/((MAX($1:$1)*(MAX($1:$1)+1)/2))))</f>
        <v>0</v>
      </c>
      <c r="BT17" s="7">
        <f>IF(OR(BT$7&lt;условия!$E$17,BT$7&gt;условия!$E$18),0,(-BT$1+MAX($1:$1))*($J17/((MAX($1:$1)*(MAX($1:$1)+1)/2))))</f>
        <v>0</v>
      </c>
      <c r="BU17" s="7">
        <f>IF(OR(BU$7&lt;условия!$E$17,BU$7&gt;условия!$E$18),0,(-BU$1+MAX($1:$1))*($J17/((MAX($1:$1)*(MAX($1:$1)+1)/2))))</f>
        <v>0</v>
      </c>
      <c r="BV17" s="7">
        <f>IF(OR(BV$7&lt;условия!$E$17,BV$7&gt;условия!$E$18),0,(-BV$1+MAX($1:$1))*($J17/((MAX($1:$1)*(MAX($1:$1)+1)/2))))</f>
        <v>0</v>
      </c>
      <c r="BW17" s="7">
        <f>IF(OR(BW$7&lt;условия!$E$17,BW$7&gt;условия!$E$18),0,(-BW$1+MAX($1:$1))*($J17/((MAX($1:$1)*(MAX($1:$1)+1)/2))))</f>
        <v>0</v>
      </c>
      <c r="BX17" s="7">
        <f>IF(OR(BX$7&lt;условия!$E$17,BX$7&gt;условия!$E$18),0,(-BX$1+MAX($1:$1))*($J17/((MAX($1:$1)*(MAX($1:$1)+1)/2))))</f>
        <v>0</v>
      </c>
      <c r="BY17" s="7">
        <f>IF(OR(BY$7&lt;условия!$E$17,BY$7&gt;условия!$E$18),0,(-BY$1+MAX($1:$1))*($J17/((MAX($1:$1)*(MAX($1:$1)+1)/2))))</f>
        <v>0</v>
      </c>
      <c r="BZ17" s="7">
        <f>IF(OR(BZ$7&lt;условия!$E$17,BZ$7&gt;условия!$E$18),0,(-BZ$1+MAX($1:$1))*($J17/((MAX($1:$1)*(MAX($1:$1)+1)/2))))</f>
        <v>0</v>
      </c>
      <c r="CA17" s="7">
        <f>IF(OR(CA$7&lt;условия!$E$17,CA$7&gt;условия!$E$18),0,(-CA$1+MAX($1:$1))*($J17/((MAX($1:$1)*(MAX($1:$1)+1)/2))))</f>
        <v>0</v>
      </c>
      <c r="CB17" s="7">
        <f>IF(OR(CB$7&lt;условия!$E$17,CB$7&gt;условия!$E$18),0,(-CB$1+MAX($1:$1))*($J17/((MAX($1:$1)*(MAX($1:$1)+1)/2))))</f>
        <v>0</v>
      </c>
      <c r="CC17" s="7">
        <f>IF(OR(CC$7&lt;условия!$E$17,CC$7&gt;условия!$E$18),0,(-CC$1+MAX($1:$1))*($J17/((MAX($1:$1)*(MAX($1:$1)+1)/2))))</f>
        <v>0</v>
      </c>
      <c r="CD17" s="7">
        <f>IF(OR(CD$7&lt;условия!$E$17,CD$7&gt;условия!$E$18),0,(-CD$1+MAX($1:$1))*($J17/((MAX($1:$1)*(MAX($1:$1)+1)/2))))</f>
        <v>0</v>
      </c>
      <c r="CE17" s="7">
        <f>IF(OR(CE$7&lt;условия!$E$17,CE$7&gt;условия!$E$18),0,(-CE$1+MAX($1:$1))*($J17/((MAX($1:$1)*(MAX($1:$1)+1)/2))))</f>
        <v>0</v>
      </c>
    </row>
    <row r="18" spans="3:83" s="3" customFormat="1">
      <c r="C18" s="3" t="str">
        <f>IF(условия!$E$9=1,условия!$C$9,IF(условия!$E$10=1,условия!$C$10,IF(условия!$E$11=1,условия!$C$11,"")))</f>
        <v>ОСНО</v>
      </c>
      <c r="E18" s="3" t="s">
        <v>7</v>
      </c>
      <c r="G18" s="33"/>
      <c r="I18" s="9" t="s">
        <v>17</v>
      </c>
      <c r="J18" s="43">
        <f>условия!$E$21*условия!$E$26</f>
        <v>420000000</v>
      </c>
      <c r="K18" s="69"/>
      <c r="L18" s="7">
        <f>IF(OR(L$7&lt;условия!$E$17,L$7&gt;условия!$E$18),0,(L$1)*($J18/((MAX($1:$1)*(MAX($1:$1)+1)/2))))</f>
        <v>0</v>
      </c>
      <c r="M18" s="7">
        <f>IF(OR(M$7&lt;условия!$E$17,M$7&gt;условия!$E$18),0,(M$1)*($J18/((MAX($1:$1)*(MAX($1:$1)+1)/2))))</f>
        <v>0</v>
      </c>
      <c r="N18" s="7">
        <f>IF(OR(N$7&lt;условия!$E$17,N$7&gt;условия!$E$18),0,(N$1)*($J18/((MAX($1:$1)*(MAX($1:$1)+1)/2))))</f>
        <v>0</v>
      </c>
      <c r="O18" s="7">
        <f>IF(OR(O$7&lt;условия!$E$17,O$7&gt;условия!$E$18),0,(O$1)*($J18/((MAX($1:$1)*(MAX($1:$1)+1)/2))))</f>
        <v>0</v>
      </c>
      <c r="P18" s="7">
        <f>IF(OR(P$7&lt;условия!$E$17,P$7&gt;условия!$E$18),0,(P$1)*($J18/((MAX($1:$1)*(MAX($1:$1)+1)/2))))</f>
        <v>0</v>
      </c>
      <c r="Q18" s="7">
        <f>IF(OR(Q$7&lt;условия!$E$17,Q$7&gt;условия!$E$18),0,(Q$1)*($J18/((MAX($1:$1)*(MAX($1:$1)+1)/2))))</f>
        <v>0</v>
      </c>
      <c r="R18" s="7">
        <f>IF(OR(R$7&lt;условия!$E$17,R$7&gt;условия!$E$18),0,(R$1)*($J18/((MAX($1:$1)*(MAX($1:$1)+1)/2))))</f>
        <v>0</v>
      </c>
      <c r="S18" s="7">
        <f>IF(OR(S$7&lt;условия!$E$17,S$7&gt;условия!$E$18),0,(S$1)*($J18/((MAX($1:$1)*(MAX($1:$1)+1)/2))))</f>
        <v>0</v>
      </c>
      <c r="T18" s="7">
        <f>IF(OR(T$7&lt;условия!$E$17,T$7&gt;условия!$E$18),0,(T$1)*($J18/((MAX($1:$1)*(MAX($1:$1)+1)/2))))</f>
        <v>0</v>
      </c>
      <c r="U18" s="7">
        <f>IF(OR(U$7&lt;условия!$E$17,U$7&gt;условия!$E$18),0,(U$1)*($J18/((MAX($1:$1)*(MAX($1:$1)+1)/2))))</f>
        <v>0</v>
      </c>
      <c r="V18" s="7">
        <f>IF(OR(V$7&lt;условия!$E$17,V$7&gt;условия!$E$18),0,(V$1)*($J18/((MAX($1:$1)*(MAX($1:$1)+1)/2))))</f>
        <v>0</v>
      </c>
      <c r="W18" s="7">
        <f>IF(OR(W$7&lt;условия!$E$17,W$7&gt;условия!$E$18),0,(W$1)*($J18/((MAX($1:$1)*(MAX($1:$1)+1)/2))))</f>
        <v>0</v>
      </c>
      <c r="X18" s="7">
        <f>IF(OR(X$7&lt;условия!$E$17,X$7&gt;условия!$E$18),0,(X$1)*($J18/((MAX($1:$1)*(MAX($1:$1)+1)/2))))</f>
        <v>0</v>
      </c>
      <c r="Y18" s="7">
        <f>IF(OR(Y$7&lt;условия!$E$17,Y$7&gt;условия!$E$18),0,(Y$1)*($J18/((MAX($1:$1)*(MAX($1:$1)+1)/2))))</f>
        <v>0</v>
      </c>
      <c r="Z18" s="7">
        <f>IF(OR(Z$7&lt;условия!$E$17,Z$7&gt;условия!$E$18),0,(Z$1)*($J18/((MAX($1:$1)*(MAX($1:$1)+1)/2))))</f>
        <v>0</v>
      </c>
      <c r="AA18" s="7">
        <f>IF(OR(AA$7&lt;условия!$E$17,AA$7&gt;условия!$E$18),0,(AA$1)*($J18/((MAX($1:$1)*(MAX($1:$1)+1)/2))))</f>
        <v>0</v>
      </c>
      <c r="AB18" s="7">
        <f>IF(OR(AB$7&lt;условия!$E$17,AB$7&gt;условия!$E$18),0,(AB$1)*($J18/((MAX($1:$1)*(MAX($1:$1)+1)/2))))</f>
        <v>0</v>
      </c>
      <c r="AC18" s="7">
        <f>IF(OR(AC$7&lt;условия!$E$17,AC$7&gt;условия!$E$18),0,(AC$1)*($J18/((MAX($1:$1)*(MAX($1:$1)+1)/2))))</f>
        <v>0</v>
      </c>
      <c r="AD18" s="7">
        <f>IF(OR(AD$7&lt;условия!$E$17,AD$7&gt;условия!$E$18),0,(AD$1)*($J18/((MAX($1:$1)*(MAX($1:$1)+1)/2))))</f>
        <v>0</v>
      </c>
      <c r="AE18" s="7">
        <f>IF(OR(AE$7&lt;условия!$E$17,AE$7&gt;условия!$E$18),0,(AE$1)*($J18/((MAX($1:$1)*(MAX($1:$1)+1)/2))))</f>
        <v>0</v>
      </c>
      <c r="AF18" s="7">
        <f>IF(OR(AF$7&lt;условия!$E$17,AF$7&gt;условия!$E$18),0,(AF$1)*($J18/((MAX($1:$1)*(MAX($1:$1)+1)/2))))</f>
        <v>0</v>
      </c>
      <c r="AG18" s="7">
        <f>IF(OR(AG$7&lt;условия!$E$17,AG$7&gt;условия!$E$18),0,(AG$1)*($J18/((MAX($1:$1)*(MAX($1:$1)+1)/2))))</f>
        <v>0</v>
      </c>
      <c r="AH18" s="7">
        <f>IF(OR(AH$7&lt;условия!$E$17,AH$7&gt;условия!$E$18),0,(AH$1)*($J18/((MAX($1:$1)*(MAX($1:$1)+1)/2))))</f>
        <v>0</v>
      </c>
      <c r="AI18" s="7">
        <f>IF(OR(AI$7&lt;условия!$E$17,AI$7&gt;условия!$E$18),0,(AI$1)*($J18/((MAX($1:$1)*(MAX($1:$1)+1)/2))))</f>
        <v>0</v>
      </c>
      <c r="AJ18" s="7">
        <f>IF(OR(AJ$7&lt;условия!$E$17,AJ$7&gt;условия!$E$18),0,(AJ$1)*($J18/((MAX($1:$1)*(MAX($1:$1)+1)/2))))</f>
        <v>0</v>
      </c>
      <c r="AK18" s="7">
        <f>IF(OR(AK$7&lt;условия!$E$17,AK$7&gt;условия!$E$18),0,(AK$1)*($J18/((MAX($1:$1)*(MAX($1:$1)+1)/2))))</f>
        <v>4000000</v>
      </c>
      <c r="AL18" s="7">
        <f>IF(OR(AL$7&lt;условия!$E$17,AL$7&gt;условия!$E$18),0,(AL$1)*($J18/((MAX($1:$1)*(MAX($1:$1)+1)/2))))</f>
        <v>8000000</v>
      </c>
      <c r="AM18" s="7">
        <f>IF(OR(AM$7&lt;условия!$E$17,AM$7&gt;условия!$E$18),0,(AM$1)*($J18/((MAX($1:$1)*(MAX($1:$1)+1)/2))))</f>
        <v>12000000</v>
      </c>
      <c r="AN18" s="7">
        <f>IF(OR(AN$7&lt;условия!$E$17,AN$7&gt;условия!$E$18),0,(AN$1)*($J18/((MAX($1:$1)*(MAX($1:$1)+1)/2))))</f>
        <v>16000000</v>
      </c>
      <c r="AO18" s="7">
        <f>IF(OR(AO$7&lt;условия!$E$17,AO$7&gt;условия!$E$18),0,(AO$1)*($J18/((MAX($1:$1)*(MAX($1:$1)+1)/2))))</f>
        <v>20000000</v>
      </c>
      <c r="AP18" s="7">
        <f>IF(OR(AP$7&lt;условия!$E$17,AP$7&gt;условия!$E$18),0,(AP$1)*($J18/((MAX($1:$1)*(MAX($1:$1)+1)/2))))</f>
        <v>24000000</v>
      </c>
      <c r="AQ18" s="7">
        <f>IF(OR(AQ$7&lt;условия!$E$17,AQ$7&gt;условия!$E$18),0,(AQ$1)*($J18/((MAX($1:$1)*(MAX($1:$1)+1)/2))))</f>
        <v>28000000</v>
      </c>
      <c r="AR18" s="7">
        <f>IF(OR(AR$7&lt;условия!$E$17,AR$7&gt;условия!$E$18),0,(AR$1)*($J18/((MAX($1:$1)*(MAX($1:$1)+1)/2))))</f>
        <v>32000000</v>
      </c>
      <c r="AS18" s="7">
        <f>IF(OR(AS$7&lt;условия!$E$17,AS$7&gt;условия!$E$18),0,(AS$1)*($J18/((MAX($1:$1)*(MAX($1:$1)+1)/2))))</f>
        <v>36000000</v>
      </c>
      <c r="AT18" s="7">
        <f>IF(OR(AT$7&lt;условия!$E$17,AT$7&gt;условия!$E$18),0,(AT$1)*($J18/((MAX($1:$1)*(MAX($1:$1)+1)/2))))</f>
        <v>40000000</v>
      </c>
      <c r="AU18" s="7">
        <f>IF(OR(AU$7&lt;условия!$E$17,AU$7&gt;условия!$E$18),0,(AU$1)*($J18/((MAX($1:$1)*(MAX($1:$1)+1)/2))))</f>
        <v>44000000</v>
      </c>
      <c r="AV18" s="7">
        <f>IF(OR(AV$7&lt;условия!$E$17,AV$7&gt;условия!$E$18),0,(AV$1)*($J18/((MAX($1:$1)*(MAX($1:$1)+1)/2))))</f>
        <v>48000000</v>
      </c>
      <c r="AW18" s="7">
        <f>IF(OR(AW$7&lt;условия!$E$17,AW$7&gt;условия!$E$18),0,(AW$1)*($J18/((MAX($1:$1)*(MAX($1:$1)+1)/2))))</f>
        <v>52000000</v>
      </c>
      <c r="AX18" s="7">
        <f>IF(OR(AX$7&lt;условия!$E$17,AX$7&gt;условия!$E$18),0,(AX$1)*($J18/((MAX($1:$1)*(MAX($1:$1)+1)/2))))</f>
        <v>56000000</v>
      </c>
      <c r="AY18" s="7">
        <f>IF(OR(AY$7&lt;условия!$E$17,AY$7&gt;условия!$E$18),0,(AY$1)*($J18/((MAX($1:$1)*(MAX($1:$1)+1)/2))))</f>
        <v>0</v>
      </c>
      <c r="AZ18" s="7">
        <f>IF(OR(AZ$7&lt;условия!$E$17,AZ$7&gt;условия!$E$18),0,(AZ$1)*($J18/((MAX($1:$1)*(MAX($1:$1)+1)/2))))</f>
        <v>0</v>
      </c>
      <c r="BA18" s="7">
        <f>IF(OR(BA$7&lt;условия!$E$17,BA$7&gt;условия!$E$18),0,(BA$1)*($J18/((MAX($1:$1)*(MAX($1:$1)+1)/2))))</f>
        <v>0</v>
      </c>
      <c r="BB18" s="7">
        <f>IF(OR(BB$7&lt;условия!$E$17,BB$7&gt;условия!$E$18),0,(BB$1)*($J18/((MAX($1:$1)*(MAX($1:$1)+1)/2))))</f>
        <v>0</v>
      </c>
      <c r="BC18" s="7">
        <f>IF(OR(BC$7&lt;условия!$E$17,BC$7&gt;условия!$E$18),0,(BC$1)*($J18/((MAX($1:$1)*(MAX($1:$1)+1)/2))))</f>
        <v>0</v>
      </c>
      <c r="BD18" s="7">
        <f>IF(OR(BD$7&lt;условия!$E$17,BD$7&gt;условия!$E$18),0,(BD$1)*($J18/((MAX($1:$1)*(MAX($1:$1)+1)/2))))</f>
        <v>0</v>
      </c>
      <c r="BE18" s="7">
        <f>IF(OR(BE$7&lt;условия!$E$17,BE$7&gt;условия!$E$18),0,(BE$1)*($J18/((MAX($1:$1)*(MAX($1:$1)+1)/2))))</f>
        <v>0</v>
      </c>
      <c r="BF18" s="7">
        <f>IF(OR(BF$7&lt;условия!$E$17,BF$7&gt;условия!$E$18),0,(BF$1)*($J18/((MAX($1:$1)*(MAX($1:$1)+1)/2))))</f>
        <v>0</v>
      </c>
      <c r="BG18" s="7">
        <f>IF(OR(BG$7&lt;условия!$E$17,BG$7&gt;условия!$E$18),0,(BG$1)*($J18/((MAX($1:$1)*(MAX($1:$1)+1)/2))))</f>
        <v>0</v>
      </c>
      <c r="BH18" s="7">
        <f>IF(OR(BH$7&lt;условия!$E$17,BH$7&gt;условия!$E$18),0,(BH$1)*($J18/((MAX($1:$1)*(MAX($1:$1)+1)/2))))</f>
        <v>0</v>
      </c>
      <c r="BI18" s="7">
        <f>IF(OR(BI$7&lt;условия!$E$17,BI$7&gt;условия!$E$18),0,(BI$1)*($J18/((MAX($1:$1)*(MAX($1:$1)+1)/2))))</f>
        <v>0</v>
      </c>
      <c r="BJ18" s="7">
        <f>IF(OR(BJ$7&lt;условия!$E$17,BJ$7&gt;условия!$E$18),0,(BJ$1)*($J18/((MAX($1:$1)*(MAX($1:$1)+1)/2))))</f>
        <v>0</v>
      </c>
      <c r="BK18" s="7">
        <f>IF(OR(BK$7&lt;условия!$E$17,BK$7&gt;условия!$E$18),0,(BK$1)*($J18/((MAX($1:$1)*(MAX($1:$1)+1)/2))))</f>
        <v>0</v>
      </c>
      <c r="BL18" s="7">
        <f>IF(OR(BL$7&lt;условия!$E$17,BL$7&gt;условия!$E$18),0,(BL$1)*($J18/((MAX($1:$1)*(MAX($1:$1)+1)/2))))</f>
        <v>0</v>
      </c>
      <c r="BM18" s="7">
        <f>IF(OR(BM$7&lt;условия!$E$17,BM$7&gt;условия!$E$18),0,(BM$1)*($J18/((MAX($1:$1)*(MAX($1:$1)+1)/2))))</f>
        <v>0</v>
      </c>
      <c r="BN18" s="7">
        <f>IF(OR(BN$7&lt;условия!$E$17,BN$7&gt;условия!$E$18),0,(BN$1)*($J18/((MAX($1:$1)*(MAX($1:$1)+1)/2))))</f>
        <v>0</v>
      </c>
      <c r="BO18" s="7">
        <f>IF(OR(BO$7&lt;условия!$E$17,BO$7&gt;условия!$E$18),0,(BO$1)*($J18/((MAX($1:$1)*(MAX($1:$1)+1)/2))))</f>
        <v>0</v>
      </c>
      <c r="BP18" s="7">
        <f>IF(OR(BP$7&lt;условия!$E$17,BP$7&gt;условия!$E$18),0,(BP$1)*($J18/((MAX($1:$1)*(MAX($1:$1)+1)/2))))</f>
        <v>0</v>
      </c>
      <c r="BQ18" s="7">
        <f>IF(OR(BQ$7&lt;условия!$E$17,BQ$7&gt;условия!$E$18),0,(BQ$1)*($J18/((MAX($1:$1)*(MAX($1:$1)+1)/2))))</f>
        <v>0</v>
      </c>
      <c r="BR18" s="7">
        <f>IF(OR(BR$7&lt;условия!$E$17,BR$7&gt;условия!$E$18),0,(BR$1)*($J18/((MAX($1:$1)*(MAX($1:$1)+1)/2))))</f>
        <v>0</v>
      </c>
      <c r="BS18" s="7">
        <f>IF(OR(BS$7&lt;условия!$E$17,BS$7&gt;условия!$E$18),0,(BS$1)*($J18/((MAX($1:$1)*(MAX($1:$1)+1)/2))))</f>
        <v>0</v>
      </c>
      <c r="BT18" s="7">
        <f>IF(OR(BT$7&lt;условия!$E$17,BT$7&gt;условия!$E$18),0,(BT$1)*($J18/((MAX($1:$1)*(MAX($1:$1)+1)/2))))</f>
        <v>0</v>
      </c>
      <c r="BU18" s="7">
        <f>IF(OR(BU$7&lt;условия!$E$17,BU$7&gt;условия!$E$18),0,(BU$1)*($J18/((MAX($1:$1)*(MAX($1:$1)+1)/2))))</f>
        <v>0</v>
      </c>
      <c r="BV18" s="7">
        <f>IF(OR(BV$7&lt;условия!$E$17,BV$7&gt;условия!$E$18),0,(BV$1)*($J18/((MAX($1:$1)*(MAX($1:$1)+1)/2))))</f>
        <v>0</v>
      </c>
      <c r="BW18" s="7">
        <f>IF(OR(BW$7&lt;условия!$E$17,BW$7&gt;условия!$E$18),0,(BW$1)*($J18/((MAX($1:$1)*(MAX($1:$1)+1)/2))))</f>
        <v>0</v>
      </c>
      <c r="BX18" s="7">
        <f>IF(OR(BX$7&lt;условия!$E$17,BX$7&gt;условия!$E$18),0,(BX$1)*($J18/((MAX($1:$1)*(MAX($1:$1)+1)/2))))</f>
        <v>0</v>
      </c>
      <c r="BY18" s="7">
        <f>IF(OR(BY$7&lt;условия!$E$17,BY$7&gt;условия!$E$18),0,(BY$1)*($J18/((MAX($1:$1)*(MAX($1:$1)+1)/2))))</f>
        <v>0</v>
      </c>
      <c r="BZ18" s="7">
        <f>IF(OR(BZ$7&lt;условия!$E$17,BZ$7&gt;условия!$E$18),0,(BZ$1)*($J18/((MAX($1:$1)*(MAX($1:$1)+1)/2))))</f>
        <v>0</v>
      </c>
      <c r="CA18" s="7">
        <f>IF(OR(CA$7&lt;условия!$E$17,CA$7&gt;условия!$E$18),0,(CA$1)*($J18/((MAX($1:$1)*(MAX($1:$1)+1)/2))))</f>
        <v>0</v>
      </c>
      <c r="CB18" s="7">
        <f>IF(OR(CB$7&lt;условия!$E$17,CB$7&gt;условия!$E$18),0,(CB$1)*($J18/((MAX($1:$1)*(MAX($1:$1)+1)/2))))</f>
        <v>0</v>
      </c>
      <c r="CC18" s="7">
        <f>IF(OR(CC$7&lt;условия!$E$17,CC$7&gt;условия!$E$18),0,(CC$1)*($J18/((MAX($1:$1)*(MAX($1:$1)+1)/2))))</f>
        <v>0</v>
      </c>
      <c r="CD18" s="7">
        <f>IF(OR(CD$7&lt;условия!$E$17,CD$7&gt;условия!$E$18),0,(CD$1)*($J18/((MAX($1:$1)*(MAX($1:$1)+1)/2))))</f>
        <v>0</v>
      </c>
      <c r="CE18" s="7">
        <f>IF(OR(CE$7&lt;условия!$E$17,CE$7&gt;условия!$E$18),0,(CE$1)*($J18/((MAX($1:$1)*(MAX($1:$1)+1)/2))))</f>
        <v>0</v>
      </c>
    </row>
    <row r="19" spans="3:83">
      <c r="C19" s="4" t="str">
        <f>IF(условия!$E$9=1,условия!$C$9,IF(условия!$E$10=1,условия!$C$10,IF(условия!$E$11=1,условия!$C$11,"")))</f>
        <v>ОСНО</v>
      </c>
      <c r="E19" s="4" t="s">
        <v>19</v>
      </c>
      <c r="H19" s="61">
        <f>условия!$E$23</f>
        <v>0.6</v>
      </c>
      <c r="I19" s="8" t="s">
        <v>17</v>
      </c>
      <c r="J19" s="62">
        <f>J17*H19*18%</f>
        <v>83160000</v>
      </c>
      <c r="L19" s="6">
        <f>L17*$H$19*условия!$E$56</f>
        <v>0</v>
      </c>
      <c r="M19" s="6">
        <f>M17*$H$19*условия!$E$56</f>
        <v>0</v>
      </c>
      <c r="N19" s="6">
        <f>N17*$H$19*условия!$E$56</f>
        <v>0</v>
      </c>
      <c r="O19" s="6">
        <f>O17*$H$19*условия!$E$56</f>
        <v>0</v>
      </c>
      <c r="P19" s="6">
        <f>P17*$H$19*условия!$E$56</f>
        <v>0</v>
      </c>
      <c r="Q19" s="6">
        <f>Q17*$H$19*условия!$E$56</f>
        <v>0</v>
      </c>
      <c r="R19" s="6">
        <f>R17*$H$19*условия!$E$56</f>
        <v>0</v>
      </c>
      <c r="S19" s="6">
        <f>S17*$H$19*условия!$E$56</f>
        <v>0</v>
      </c>
      <c r="T19" s="6">
        <f>T17*$H$19*условия!$E$56</f>
        <v>0</v>
      </c>
      <c r="U19" s="6">
        <f>U17*$H$19*условия!$E$56</f>
        <v>0</v>
      </c>
      <c r="V19" s="6">
        <f>V17*$H$19*условия!$E$56</f>
        <v>0</v>
      </c>
      <c r="W19" s="6">
        <f>W17*$H$19*условия!$E$56</f>
        <v>0</v>
      </c>
      <c r="X19" s="6">
        <f>X17*$H$19*условия!$E$56</f>
        <v>0</v>
      </c>
      <c r="Y19" s="6">
        <f>Y17*$H$19*условия!$E$56</f>
        <v>0</v>
      </c>
      <c r="Z19" s="6">
        <f>Z17*$H$19*условия!$E$56</f>
        <v>0</v>
      </c>
      <c r="AA19" s="6">
        <f>AA17*$H$19*условия!$E$56</f>
        <v>0</v>
      </c>
      <c r="AB19" s="6">
        <f>AB17*$H$19*условия!$E$56</f>
        <v>0</v>
      </c>
      <c r="AC19" s="6">
        <f>AC17*$H$19*условия!$E$56</f>
        <v>0</v>
      </c>
      <c r="AD19" s="6">
        <f>AD17*$H$19*условия!$E$56</f>
        <v>0</v>
      </c>
      <c r="AE19" s="6">
        <f>AE17*$H$19*условия!$E$56</f>
        <v>0</v>
      </c>
      <c r="AF19" s="6">
        <f>AF17*$H$19*условия!$E$56</f>
        <v>0</v>
      </c>
      <c r="AG19" s="6">
        <f>AG17*$H$19*условия!$E$56</f>
        <v>0</v>
      </c>
      <c r="AH19" s="6">
        <f>AH17*$H$19*условия!$E$56</f>
        <v>0</v>
      </c>
      <c r="AI19" s="6">
        <f>AI17*$H$19*условия!$E$56</f>
        <v>0</v>
      </c>
      <c r="AJ19" s="6">
        <f>AJ17*$H$19*условия!$E$56</f>
        <v>12320000</v>
      </c>
      <c r="AK19" s="6">
        <f>AK17*$H$19*условия!$E$56</f>
        <v>11440000</v>
      </c>
      <c r="AL19" s="6">
        <f>AL17*$H$19*условия!$E$56</f>
        <v>10560000</v>
      </c>
      <c r="AM19" s="6">
        <f>AM17*$H$19*условия!$E$56</f>
        <v>9679999.9999999981</v>
      </c>
      <c r="AN19" s="6">
        <f>AN17*$H$19*условия!$E$56</f>
        <v>8799999.9999999981</v>
      </c>
      <c r="AO19" s="6">
        <f>AO17*$H$19*условия!$E$56</f>
        <v>7920000</v>
      </c>
      <c r="AP19" s="6">
        <f>AP17*$H$19*условия!$E$56</f>
        <v>7040000</v>
      </c>
      <c r="AQ19" s="6">
        <f>AQ17*$H$19*условия!$E$56</f>
        <v>6160000</v>
      </c>
      <c r="AR19" s="6">
        <f>AR17*$H$19*условия!$E$56</f>
        <v>5280000</v>
      </c>
      <c r="AS19" s="6">
        <f>AS17*$H$19*условия!$E$56</f>
        <v>4399999.9999999991</v>
      </c>
      <c r="AT19" s="6">
        <f>AT17*$H$19*условия!$E$56</f>
        <v>3520000</v>
      </c>
      <c r="AU19" s="6">
        <f>AU17*$H$19*условия!$E$56</f>
        <v>2640000</v>
      </c>
      <c r="AV19" s="6">
        <f>AV17*$H$19*условия!$E$56</f>
        <v>1760000</v>
      </c>
      <c r="AW19" s="6">
        <f>AW17*$H$19*условия!$E$56</f>
        <v>880000</v>
      </c>
      <c r="AX19" s="6">
        <f>AX17*$H$19*условия!$E$56</f>
        <v>0</v>
      </c>
      <c r="AY19" s="6">
        <f>AY17*$H$19*условия!$E$56</f>
        <v>0</v>
      </c>
      <c r="AZ19" s="6">
        <f>AZ17*$H$19*условия!$E$56</f>
        <v>0</v>
      </c>
      <c r="BA19" s="6">
        <f>BA17*$H$19*условия!$E$56</f>
        <v>0</v>
      </c>
      <c r="BB19" s="6">
        <f>BB17*$H$19*условия!$E$56</f>
        <v>0</v>
      </c>
      <c r="BC19" s="6">
        <f>BC17*$H$19*условия!$E$56</f>
        <v>0</v>
      </c>
      <c r="BD19" s="6">
        <f>BD17*$H$19*условия!$E$56</f>
        <v>0</v>
      </c>
      <c r="BE19" s="6">
        <f>BE17*$H$19*условия!$E$56</f>
        <v>0</v>
      </c>
      <c r="BF19" s="6">
        <f>BF17*$H$19*условия!$E$56</f>
        <v>0</v>
      </c>
      <c r="BG19" s="6">
        <f>BG17*$H$19*условия!$E$56</f>
        <v>0</v>
      </c>
      <c r="BH19" s="6">
        <f>BH17*$H$19*условия!$E$56</f>
        <v>0</v>
      </c>
      <c r="BI19" s="6">
        <f>BI17*$H$19*условия!$E$56</f>
        <v>0</v>
      </c>
      <c r="BJ19" s="6">
        <f>BJ17*$H$19*условия!$E$56</f>
        <v>0</v>
      </c>
      <c r="BK19" s="6">
        <f>BK17*$H$19*условия!$E$56</f>
        <v>0</v>
      </c>
      <c r="BL19" s="6">
        <f>BL17*$H$19*условия!$E$56</f>
        <v>0</v>
      </c>
      <c r="BM19" s="6">
        <f>BM17*$H$19*условия!$E$56</f>
        <v>0</v>
      </c>
      <c r="BN19" s="6">
        <f>BN17*$H$19*условия!$E$56</f>
        <v>0</v>
      </c>
      <c r="BO19" s="6">
        <f>BO17*$H$19*условия!$E$56</f>
        <v>0</v>
      </c>
      <c r="BP19" s="6">
        <f>BP17*$H$19*условия!$E$56</f>
        <v>0</v>
      </c>
      <c r="BQ19" s="6">
        <f>BQ17*$H$19*условия!$E$56</f>
        <v>0</v>
      </c>
      <c r="BR19" s="6">
        <f>BR17*$H$19*условия!$E$56</f>
        <v>0</v>
      </c>
      <c r="BS19" s="6">
        <f>BS17*$H$19*условия!$E$56</f>
        <v>0</v>
      </c>
      <c r="BT19" s="6">
        <f>BT17*$H$19*условия!$E$56</f>
        <v>0</v>
      </c>
      <c r="BU19" s="6">
        <f>BU17*$H$19*условия!$E$56</f>
        <v>0</v>
      </c>
      <c r="BV19" s="6">
        <f>BV17*$H$19*условия!$E$56</f>
        <v>0</v>
      </c>
      <c r="BW19" s="6">
        <f>BW17*$H$19*условия!$E$56</f>
        <v>0</v>
      </c>
      <c r="BX19" s="6">
        <f>BX17*$H$19*условия!$E$56</f>
        <v>0</v>
      </c>
      <c r="BY19" s="6">
        <f>BY17*$H$19*условия!$E$56</f>
        <v>0</v>
      </c>
      <c r="BZ19" s="6">
        <f>BZ17*$H$19*условия!$E$56</f>
        <v>0</v>
      </c>
      <c r="CA19" s="6">
        <f>CA17*$H$19*условия!$E$56</f>
        <v>0</v>
      </c>
      <c r="CB19" s="6">
        <f>CB17*$H$19*условия!$E$56</f>
        <v>0</v>
      </c>
      <c r="CC19" s="6">
        <f>CC17*$H$19*условия!$E$56</f>
        <v>0</v>
      </c>
      <c r="CD19" s="6">
        <f>CD17*$H$19*условия!$E$56</f>
        <v>0</v>
      </c>
      <c r="CE19" s="6">
        <f>CE17*$H$19*условия!$E$56</f>
        <v>0</v>
      </c>
    </row>
    <row r="20" spans="3:83">
      <c r="C20" s="4" t="str">
        <f>IF(условия!$E$9=1,условия!$C$9,IF(условия!$E$10=1,условия!$C$10,IF(условия!$E$11=1,условия!$C$11,"")))</f>
        <v>ОСНО</v>
      </c>
      <c r="E20" s="4" t="s">
        <v>20</v>
      </c>
      <c r="H20" s="61">
        <f>условия!$E$25</f>
        <v>5.0000000000000044E-2</v>
      </c>
      <c r="I20" s="8" t="s">
        <v>17</v>
      </c>
      <c r="J20" s="62">
        <f>J17*$H$20/(1-условия!$E$31)*условия!$E$31</f>
        <v>4277777.7777777826</v>
      </c>
      <c r="L20" s="6">
        <f>L17*$H$20/(1-условия!$E$31)*условия!$E$31</f>
        <v>0</v>
      </c>
      <c r="M20" s="6">
        <f>M17*$H$20/(1-условия!$E$31)*условия!$E$31</f>
        <v>0</v>
      </c>
      <c r="N20" s="6">
        <f>N17*$H$20/(1-условия!$E$31)*условия!$E$31</f>
        <v>0</v>
      </c>
      <c r="O20" s="6">
        <f>O17*$H$20/(1-условия!$E$31)*условия!$E$31</f>
        <v>0</v>
      </c>
      <c r="P20" s="6">
        <f>P17*$H$20/(1-условия!$E$31)*условия!$E$31</f>
        <v>0</v>
      </c>
      <c r="Q20" s="6">
        <f>Q17*$H$20/(1-условия!$E$31)*условия!$E$31</f>
        <v>0</v>
      </c>
      <c r="R20" s="6">
        <f>R17*$H$20/(1-условия!$E$31)*условия!$E$31</f>
        <v>0</v>
      </c>
      <c r="S20" s="6">
        <f>S17*$H$20/(1-условия!$E$31)*условия!$E$31</f>
        <v>0</v>
      </c>
      <c r="T20" s="6">
        <f>T17*$H$20/(1-условия!$E$31)*условия!$E$31</f>
        <v>0</v>
      </c>
      <c r="U20" s="6">
        <f>U17*$H$20/(1-условия!$E$31)*условия!$E$31</f>
        <v>0</v>
      </c>
      <c r="V20" s="6">
        <f>V17*$H$20/(1-условия!$E$31)*условия!$E$31</f>
        <v>0</v>
      </c>
      <c r="W20" s="6">
        <f>W17*$H$20/(1-условия!$E$31)*условия!$E$31</f>
        <v>0</v>
      </c>
      <c r="X20" s="6">
        <f>X17*$H$20/(1-условия!$E$31)*условия!$E$31</f>
        <v>0</v>
      </c>
      <c r="Y20" s="6">
        <f>Y17*$H$20/(1-условия!$E$31)*условия!$E$31</f>
        <v>0</v>
      </c>
      <c r="Z20" s="6">
        <f>Z17*$H$20/(1-условия!$E$31)*условия!$E$31</f>
        <v>0</v>
      </c>
      <c r="AA20" s="6">
        <f>AA17*$H$20/(1-условия!$E$31)*условия!$E$31</f>
        <v>0</v>
      </c>
      <c r="AB20" s="6">
        <f>AB17*$H$20/(1-условия!$E$31)*условия!$E$31</f>
        <v>0</v>
      </c>
      <c r="AC20" s="6">
        <f>AC17*$H$20/(1-условия!$E$31)*условия!$E$31</f>
        <v>0</v>
      </c>
      <c r="AD20" s="6">
        <f>AD17*$H$20/(1-условия!$E$31)*условия!$E$31</f>
        <v>0</v>
      </c>
      <c r="AE20" s="6">
        <f>AE17*$H$20/(1-условия!$E$31)*условия!$E$31</f>
        <v>0</v>
      </c>
      <c r="AF20" s="6">
        <f>AF17*$H$20/(1-условия!$E$31)*условия!$E$31</f>
        <v>0</v>
      </c>
      <c r="AG20" s="6">
        <f>AG17*$H$20/(1-условия!$E$31)*условия!$E$31</f>
        <v>0</v>
      </c>
      <c r="AH20" s="6">
        <f>AH17*$H$20/(1-условия!$E$31)*условия!$E$31</f>
        <v>0</v>
      </c>
      <c r="AI20" s="6">
        <f>AI17*$H$20/(1-условия!$E$31)*условия!$E$31</f>
        <v>0</v>
      </c>
      <c r="AJ20" s="6">
        <f>AJ17*$H$20/(1-условия!$E$31)*условия!$E$31</f>
        <v>570370.3703703708</v>
      </c>
      <c r="AK20" s="6">
        <f>AK17*$H$20/(1-условия!$E$31)*условия!$E$31</f>
        <v>529629.62962963001</v>
      </c>
      <c r="AL20" s="6">
        <f>AL17*$H$20/(1-условия!$E$31)*условия!$E$31</f>
        <v>488888.88888888928</v>
      </c>
      <c r="AM20" s="6">
        <f>AM17*$H$20/(1-условия!$E$31)*условия!$E$31</f>
        <v>448148.14814814855</v>
      </c>
      <c r="AN20" s="6">
        <f>AN17*$H$20/(1-условия!$E$31)*условия!$E$31</f>
        <v>407407.40740740777</v>
      </c>
      <c r="AO20" s="6">
        <f>AO17*$H$20/(1-условия!$E$31)*условия!$E$31</f>
        <v>366666.66666666698</v>
      </c>
      <c r="AP20" s="6">
        <f>AP17*$H$20/(1-условия!$E$31)*условия!$E$31</f>
        <v>325925.92592592625</v>
      </c>
      <c r="AQ20" s="6">
        <f>AQ17*$H$20/(1-условия!$E$31)*условия!$E$31</f>
        <v>285185.1851851854</v>
      </c>
      <c r="AR20" s="6">
        <f>AR17*$H$20/(1-условия!$E$31)*условия!$E$31</f>
        <v>244444.44444444464</v>
      </c>
      <c r="AS20" s="6">
        <f>AS17*$H$20/(1-условия!$E$31)*условия!$E$31</f>
        <v>203703.70370370388</v>
      </c>
      <c r="AT20" s="6">
        <f>AT17*$H$20/(1-условия!$E$31)*условия!$E$31</f>
        <v>162962.96296296312</v>
      </c>
      <c r="AU20" s="6">
        <f>AU17*$H$20/(1-условия!$E$31)*условия!$E$31</f>
        <v>122222.22222222232</v>
      </c>
      <c r="AV20" s="6">
        <f>AV17*$H$20/(1-условия!$E$31)*условия!$E$31</f>
        <v>81481.481481481562</v>
      </c>
      <c r="AW20" s="6">
        <f>AW17*$H$20/(1-условия!$E$31)*условия!$E$31</f>
        <v>40740.740740740781</v>
      </c>
      <c r="AX20" s="6">
        <f>AX17*$H$20/(1-условия!$E$31)*условия!$E$31</f>
        <v>0</v>
      </c>
      <c r="AY20" s="6">
        <f>AY17*$H$20/(1-условия!$E$31)*условия!$E$31</f>
        <v>0</v>
      </c>
      <c r="AZ20" s="6">
        <f>AZ17*$H$20/(1-условия!$E$31)*условия!$E$31</f>
        <v>0</v>
      </c>
      <c r="BA20" s="6">
        <f>BA17*$H$20/(1-условия!$E$31)*условия!$E$31</f>
        <v>0</v>
      </c>
      <c r="BB20" s="6">
        <f>BB17*$H$20/(1-условия!$E$31)*условия!$E$31</f>
        <v>0</v>
      </c>
      <c r="BC20" s="6">
        <f>BC17*$H$20/(1-условия!$E$31)*условия!$E$31</f>
        <v>0</v>
      </c>
      <c r="BD20" s="6">
        <f>BD17*$H$20/(1-условия!$E$31)*условия!$E$31</f>
        <v>0</v>
      </c>
      <c r="BE20" s="6">
        <f>BE17*$H$20/(1-условия!$E$31)*условия!$E$31</f>
        <v>0</v>
      </c>
      <c r="BF20" s="6">
        <f>BF17*$H$20/(1-условия!$E$31)*условия!$E$31</f>
        <v>0</v>
      </c>
      <c r="BG20" s="6">
        <f>BG17*$H$20/(1-условия!$E$31)*условия!$E$31</f>
        <v>0</v>
      </c>
      <c r="BH20" s="6">
        <f>BH17*$H$20/(1-условия!$E$31)*условия!$E$31</f>
        <v>0</v>
      </c>
      <c r="BI20" s="6">
        <f>BI17*$H$20/(1-условия!$E$31)*условия!$E$31</f>
        <v>0</v>
      </c>
      <c r="BJ20" s="6">
        <f>BJ17*$H$20/(1-условия!$E$31)*условия!$E$31</f>
        <v>0</v>
      </c>
      <c r="BK20" s="6">
        <f>BK17*$H$20/(1-условия!$E$31)*условия!$E$31</f>
        <v>0</v>
      </c>
      <c r="BL20" s="6">
        <f>BL17*$H$20/(1-условия!$E$31)*условия!$E$31</f>
        <v>0</v>
      </c>
      <c r="BM20" s="6">
        <f>BM17*$H$20/(1-условия!$E$31)*условия!$E$31</f>
        <v>0</v>
      </c>
      <c r="BN20" s="6">
        <f>BN17*$H$20/(1-условия!$E$31)*условия!$E$31</f>
        <v>0</v>
      </c>
      <c r="BO20" s="6">
        <f>BO17*$H$20/(1-условия!$E$31)*условия!$E$31</f>
        <v>0</v>
      </c>
      <c r="BP20" s="6">
        <f>BP17*$H$20/(1-условия!$E$31)*условия!$E$31</f>
        <v>0</v>
      </c>
      <c r="BQ20" s="6">
        <f>BQ17*$H$20/(1-условия!$E$31)*условия!$E$31</f>
        <v>0</v>
      </c>
      <c r="BR20" s="6">
        <f>BR17*$H$20/(1-условия!$E$31)*условия!$E$31</f>
        <v>0</v>
      </c>
      <c r="BS20" s="6">
        <f>BS17*$H$20/(1-условия!$E$31)*условия!$E$31</f>
        <v>0</v>
      </c>
      <c r="BT20" s="6">
        <f>BT17*$H$20/(1-условия!$E$31)*условия!$E$31</f>
        <v>0</v>
      </c>
      <c r="BU20" s="6">
        <f>BU17*$H$20/(1-условия!$E$31)*условия!$E$31</f>
        <v>0</v>
      </c>
      <c r="BV20" s="6">
        <f>BV17*$H$20/(1-условия!$E$31)*условия!$E$31</f>
        <v>0</v>
      </c>
      <c r="BW20" s="6">
        <f>BW17*$H$20/(1-условия!$E$31)*условия!$E$31</f>
        <v>0</v>
      </c>
      <c r="BX20" s="6">
        <f>BX17*$H$20/(1-условия!$E$31)*условия!$E$31</f>
        <v>0</v>
      </c>
      <c r="BY20" s="6">
        <f>BY17*$H$20/(1-условия!$E$31)*условия!$E$31</f>
        <v>0</v>
      </c>
      <c r="BZ20" s="6">
        <f>BZ17*$H$20/(1-условия!$E$31)*условия!$E$31</f>
        <v>0</v>
      </c>
      <c r="CA20" s="6">
        <f>CA17*$H$20/(1-условия!$E$31)*условия!$E$31</f>
        <v>0</v>
      </c>
      <c r="CB20" s="6">
        <f>CB17*$H$20/(1-условия!$E$31)*условия!$E$31</f>
        <v>0</v>
      </c>
      <c r="CC20" s="6">
        <f>CC17*$H$20/(1-условия!$E$31)*условия!$E$31</f>
        <v>0</v>
      </c>
      <c r="CD20" s="6">
        <f>CD17*$H$20/(1-условия!$E$31)*условия!$E$31</f>
        <v>0</v>
      </c>
      <c r="CE20" s="6">
        <f>CE17*$H$20/(1-условия!$E$31)*условия!$E$31</f>
        <v>0</v>
      </c>
    </row>
    <row r="21" spans="3:83">
      <c r="C21" s="4" t="str">
        <f>IF(условия!$E$9=1,условия!$C$9,IF(условия!$E$10=1,условия!$C$10,IF(условия!$E$11=1,условия!$C$11,"")))</f>
        <v>ОСНО</v>
      </c>
      <c r="E21" s="4" t="s">
        <v>21</v>
      </c>
      <c r="H21" s="61">
        <f>условия!$E$27</f>
        <v>0.2</v>
      </c>
      <c r="I21" s="8" t="s">
        <v>17</v>
      </c>
      <c r="J21" s="62">
        <f>J18*$H$21*13%</f>
        <v>10920000</v>
      </c>
      <c r="L21" s="6">
        <f>L18*$H$21*условия!$E$58</f>
        <v>0</v>
      </c>
      <c r="M21" s="6">
        <f>M18*$H$21*условия!$E$58</f>
        <v>0</v>
      </c>
      <c r="N21" s="6">
        <f>N18*$H$21*условия!$E$58</f>
        <v>0</v>
      </c>
      <c r="O21" s="6">
        <f>O18*$H$21*условия!$E$58</f>
        <v>0</v>
      </c>
      <c r="P21" s="6">
        <f>P18*$H$21*условия!$E$58</f>
        <v>0</v>
      </c>
      <c r="Q21" s="6">
        <f>Q18*$H$21*условия!$E$58</f>
        <v>0</v>
      </c>
      <c r="R21" s="6">
        <f>R18*$H$21*условия!$E$58</f>
        <v>0</v>
      </c>
      <c r="S21" s="6">
        <f>S18*$H$21*условия!$E$58</f>
        <v>0</v>
      </c>
      <c r="T21" s="6">
        <f>T18*$H$21*условия!$E$58</f>
        <v>0</v>
      </c>
      <c r="U21" s="6">
        <f>U18*$H$21*условия!$E$58</f>
        <v>0</v>
      </c>
      <c r="V21" s="6">
        <f>V18*$H$21*условия!$E$58</f>
        <v>0</v>
      </c>
      <c r="W21" s="6">
        <f>W18*$H$21*условия!$E$58</f>
        <v>0</v>
      </c>
      <c r="X21" s="6">
        <f>X18*$H$21*условия!$E$58</f>
        <v>0</v>
      </c>
      <c r="Y21" s="6">
        <f>Y18*$H$21*условия!$E$58</f>
        <v>0</v>
      </c>
      <c r="Z21" s="6">
        <f>Z18*$H$21*условия!$E$58</f>
        <v>0</v>
      </c>
      <c r="AA21" s="6">
        <f>AA18*$H$21*условия!$E$58</f>
        <v>0</v>
      </c>
      <c r="AB21" s="6">
        <f>AB18*$H$21*условия!$E$58</f>
        <v>0</v>
      </c>
      <c r="AC21" s="6">
        <f>AC18*$H$21*условия!$E$58</f>
        <v>0</v>
      </c>
      <c r="AD21" s="6">
        <f>AD18*$H$21*условия!$E$58</f>
        <v>0</v>
      </c>
      <c r="AE21" s="6">
        <f>AE18*$H$21*условия!$E$58</f>
        <v>0</v>
      </c>
      <c r="AF21" s="6">
        <f>AF18*$H$21*условия!$E$58</f>
        <v>0</v>
      </c>
      <c r="AG21" s="6">
        <f>AG18*$H$21*условия!$E$58</f>
        <v>0</v>
      </c>
      <c r="AH21" s="6">
        <f>AH18*$H$21*условия!$E$58</f>
        <v>0</v>
      </c>
      <c r="AI21" s="6">
        <f>AI18*$H$21*условия!$E$58</f>
        <v>0</v>
      </c>
      <c r="AJ21" s="6">
        <f>AJ18*$H$21*условия!$E$58</f>
        <v>0</v>
      </c>
      <c r="AK21" s="6">
        <f>AK18*$H$21*условия!$E$58</f>
        <v>104000</v>
      </c>
      <c r="AL21" s="6">
        <f>AL18*$H$21*условия!$E$58</f>
        <v>208000</v>
      </c>
      <c r="AM21" s="6">
        <f>AM18*$H$21*условия!$E$58</f>
        <v>312000</v>
      </c>
      <c r="AN21" s="6">
        <f>AN18*$H$21*условия!$E$58</f>
        <v>416000</v>
      </c>
      <c r="AO21" s="6">
        <f>AO18*$H$21*условия!$E$58</f>
        <v>520000</v>
      </c>
      <c r="AP21" s="6">
        <f>AP18*$H$21*условия!$E$58</f>
        <v>624000</v>
      </c>
      <c r="AQ21" s="6">
        <f>AQ18*$H$21*условия!$E$58</f>
        <v>728000</v>
      </c>
      <c r="AR21" s="6">
        <f>AR18*$H$21*условия!$E$58</f>
        <v>832000</v>
      </c>
      <c r="AS21" s="6">
        <f>AS18*$H$21*условия!$E$58</f>
        <v>936000</v>
      </c>
      <c r="AT21" s="6">
        <f>AT18*$H$21*условия!$E$58</f>
        <v>1040000</v>
      </c>
      <c r="AU21" s="6">
        <f>AU18*$H$21*условия!$E$58</f>
        <v>1144000</v>
      </c>
      <c r="AV21" s="6">
        <f>AV18*$H$21*условия!$E$58</f>
        <v>1248000</v>
      </c>
      <c r="AW21" s="6">
        <f>AW18*$H$21*условия!$E$58</f>
        <v>1352000</v>
      </c>
      <c r="AX21" s="6">
        <f>AX18*$H$21*условия!$E$58</f>
        <v>1456000</v>
      </c>
      <c r="AY21" s="6">
        <f>AY18*$H$21*условия!$E$58</f>
        <v>0</v>
      </c>
      <c r="AZ21" s="6">
        <f>AZ18*$H$21*условия!$E$58</f>
        <v>0</v>
      </c>
      <c r="BA21" s="6">
        <f>BA18*$H$21*условия!$E$58</f>
        <v>0</v>
      </c>
      <c r="BB21" s="6">
        <f>BB18*$H$21*условия!$E$58</f>
        <v>0</v>
      </c>
      <c r="BC21" s="6">
        <f>BC18*$H$21*условия!$E$58</f>
        <v>0</v>
      </c>
      <c r="BD21" s="6">
        <f>BD18*$H$21*условия!$E$58</f>
        <v>0</v>
      </c>
      <c r="BE21" s="6">
        <f>BE18*$H$21*условия!$E$58</f>
        <v>0</v>
      </c>
      <c r="BF21" s="6">
        <f>BF18*$H$21*условия!$E$58</f>
        <v>0</v>
      </c>
      <c r="BG21" s="6">
        <f>BG18*$H$21*условия!$E$58</f>
        <v>0</v>
      </c>
      <c r="BH21" s="6">
        <f>BH18*$H$21*условия!$E$58</f>
        <v>0</v>
      </c>
      <c r="BI21" s="6">
        <f>BI18*$H$21*условия!$E$58</f>
        <v>0</v>
      </c>
      <c r="BJ21" s="6">
        <f>BJ18*$H$21*условия!$E$58</f>
        <v>0</v>
      </c>
      <c r="BK21" s="6">
        <f>BK18*$H$21*условия!$E$58</f>
        <v>0</v>
      </c>
      <c r="BL21" s="6">
        <f>BL18*$H$21*условия!$E$58</f>
        <v>0</v>
      </c>
      <c r="BM21" s="6">
        <f>BM18*$H$21*условия!$E$58</f>
        <v>0</v>
      </c>
      <c r="BN21" s="6">
        <f>BN18*$H$21*условия!$E$58</f>
        <v>0</v>
      </c>
      <c r="BO21" s="6">
        <f>BO18*$H$21*условия!$E$58</f>
        <v>0</v>
      </c>
      <c r="BP21" s="6">
        <f>BP18*$H$21*условия!$E$58</f>
        <v>0</v>
      </c>
      <c r="BQ21" s="6">
        <f>BQ18*$H$21*условия!$E$58</f>
        <v>0</v>
      </c>
      <c r="BR21" s="6">
        <f>BR18*$H$21*условия!$E$58</f>
        <v>0</v>
      </c>
      <c r="BS21" s="6">
        <f>BS18*$H$21*условия!$E$58</f>
        <v>0</v>
      </c>
      <c r="BT21" s="6">
        <f>BT18*$H$21*условия!$E$58</f>
        <v>0</v>
      </c>
      <c r="BU21" s="6">
        <f>BU18*$H$21*условия!$E$58</f>
        <v>0</v>
      </c>
      <c r="BV21" s="6">
        <f>BV18*$H$21*условия!$E$58</f>
        <v>0</v>
      </c>
      <c r="BW21" s="6">
        <f>BW18*$H$21*условия!$E$58</f>
        <v>0</v>
      </c>
      <c r="BX21" s="6">
        <f>BX18*$H$21*условия!$E$58</f>
        <v>0</v>
      </c>
      <c r="BY21" s="6">
        <f>BY18*$H$21*условия!$E$58</f>
        <v>0</v>
      </c>
      <c r="BZ21" s="6">
        <f>BZ18*$H$21*условия!$E$58</f>
        <v>0</v>
      </c>
      <c r="CA21" s="6">
        <f>CA18*$H$21*условия!$E$58</f>
        <v>0</v>
      </c>
      <c r="CB21" s="6">
        <f>CB18*$H$21*условия!$E$58</f>
        <v>0</v>
      </c>
      <c r="CC21" s="6">
        <f>CC18*$H$21*условия!$E$58</f>
        <v>0</v>
      </c>
      <c r="CD21" s="6">
        <f>CD18*$H$21*условия!$E$58</f>
        <v>0</v>
      </c>
      <c r="CE21" s="6">
        <f>CE18*$H$21*условия!$E$58</f>
        <v>0</v>
      </c>
    </row>
    <row r="22" spans="3:83">
      <c r="C22" s="4" t="str">
        <f>IF(условия!$E$9=1,условия!$C$9,IF(условия!$E$10=1,условия!$C$10,IF(условия!$E$11=1,условия!$C$11,"")))</f>
        <v>ОСНО</v>
      </c>
      <c r="E22" s="4" t="s">
        <v>22</v>
      </c>
      <c r="H22" s="61">
        <f>условия!$E$27</f>
        <v>0.2</v>
      </c>
      <c r="I22" s="8" t="s">
        <v>17</v>
      </c>
      <c r="J22" s="62">
        <f>(J18*$H$22+J21)*30%</f>
        <v>28476000</v>
      </c>
      <c r="L22" s="6">
        <f>(L18*$H$22+L21)*условия!$E$60</f>
        <v>0</v>
      </c>
      <c r="M22" s="6">
        <f>(M18*$H$22+M21)*условия!$E$60</f>
        <v>0</v>
      </c>
      <c r="N22" s="6">
        <f>(N18*$H$22+N21)*условия!$E$60</f>
        <v>0</v>
      </c>
      <c r="O22" s="6">
        <f>(O18*$H$22+O21)*условия!$E$60</f>
        <v>0</v>
      </c>
      <c r="P22" s="6">
        <f>(P18*$H$22+P21)*условия!$E$60</f>
        <v>0</v>
      </c>
      <c r="Q22" s="6">
        <f>(Q18*$H$22+Q21)*условия!$E$60</f>
        <v>0</v>
      </c>
      <c r="R22" s="6">
        <f>(R18*$H$22+R21)*условия!$E$60</f>
        <v>0</v>
      </c>
      <c r="S22" s="6">
        <f>(S18*$H$22+S21)*условия!$E$60</f>
        <v>0</v>
      </c>
      <c r="T22" s="6">
        <f>(T18*$H$22+T21)*условия!$E$60</f>
        <v>0</v>
      </c>
      <c r="U22" s="6">
        <f>(U18*$H$22+U21)*условия!$E$60</f>
        <v>0</v>
      </c>
      <c r="V22" s="6">
        <f>(V18*$H$22+V21)*условия!$E$60</f>
        <v>0</v>
      </c>
      <c r="W22" s="6">
        <f>(W18*$H$22+W21)*условия!$E$60</f>
        <v>0</v>
      </c>
      <c r="X22" s="6">
        <f>(X18*$H$22+X21)*условия!$E$60</f>
        <v>0</v>
      </c>
      <c r="Y22" s="6">
        <f>(Y18*$H$22+Y21)*условия!$E$60</f>
        <v>0</v>
      </c>
      <c r="Z22" s="6">
        <f>(Z18*$H$22+Z21)*условия!$E$60</f>
        <v>0</v>
      </c>
      <c r="AA22" s="6">
        <f>(AA18*$H$22+AA21)*условия!$E$60</f>
        <v>0</v>
      </c>
      <c r="AB22" s="6">
        <f>(AB18*$H$22+AB21)*условия!$E$60</f>
        <v>0</v>
      </c>
      <c r="AC22" s="6">
        <f>(AC18*$H$22+AC21)*условия!$E$60</f>
        <v>0</v>
      </c>
      <c r="AD22" s="6">
        <f>(AD18*$H$22+AD21)*условия!$E$60</f>
        <v>0</v>
      </c>
      <c r="AE22" s="6">
        <f>(AE18*$H$22+AE21)*условия!$E$60</f>
        <v>0</v>
      </c>
      <c r="AF22" s="6">
        <f>(AF18*$H$22+AF21)*условия!$E$60</f>
        <v>0</v>
      </c>
      <c r="AG22" s="6">
        <f>(AG18*$H$22+AG21)*условия!$E$60</f>
        <v>0</v>
      </c>
      <c r="AH22" s="6">
        <f>(AH18*$H$22+AH21)*условия!$E$60</f>
        <v>0</v>
      </c>
      <c r="AI22" s="6">
        <f>(AI18*$H$22+AI21)*условия!$E$60</f>
        <v>0</v>
      </c>
      <c r="AJ22" s="6">
        <f>(AJ18*$H$22+AJ21)*условия!$E$60</f>
        <v>0</v>
      </c>
      <c r="AK22" s="6">
        <f>(AK18*$H$22+AK21)*условия!$E$60</f>
        <v>271200</v>
      </c>
      <c r="AL22" s="6">
        <f>(AL18*$H$22+AL21)*условия!$E$60</f>
        <v>542400</v>
      </c>
      <c r="AM22" s="6">
        <f>(AM18*$H$22+AM21)*условия!$E$60</f>
        <v>813600</v>
      </c>
      <c r="AN22" s="6">
        <f>(AN18*$H$22+AN21)*условия!$E$60</f>
        <v>1084800</v>
      </c>
      <c r="AO22" s="6">
        <f>(AO18*$H$22+AO21)*условия!$E$60</f>
        <v>1356000</v>
      </c>
      <c r="AP22" s="6">
        <f>(AP18*$H$22+AP21)*условия!$E$60</f>
        <v>1627200</v>
      </c>
      <c r="AQ22" s="6">
        <f>(AQ18*$H$22+AQ21)*условия!$E$60</f>
        <v>1898400</v>
      </c>
      <c r="AR22" s="6">
        <f>(AR18*$H$22+AR21)*условия!$E$60</f>
        <v>2169600</v>
      </c>
      <c r="AS22" s="6">
        <f>(AS18*$H$22+AS21)*условия!$E$60</f>
        <v>2440800</v>
      </c>
      <c r="AT22" s="6">
        <f>(AT18*$H$22+AT21)*условия!$E$60</f>
        <v>2712000</v>
      </c>
      <c r="AU22" s="6">
        <f>(AU18*$H$22+AU21)*условия!$E$60</f>
        <v>2983200</v>
      </c>
      <c r="AV22" s="6">
        <f>(AV18*$H$22+AV21)*условия!$E$60</f>
        <v>3254400</v>
      </c>
      <c r="AW22" s="6">
        <f>(AW18*$H$22+AW21)*условия!$E$60</f>
        <v>3525600</v>
      </c>
      <c r="AX22" s="6">
        <f>(AX18*$H$22+AX21)*условия!$E$60</f>
        <v>3796800</v>
      </c>
      <c r="AY22" s="6">
        <f>(AY18*$H$22+AY21)*условия!$E$60</f>
        <v>0</v>
      </c>
      <c r="AZ22" s="6">
        <f>(AZ18*$H$22+AZ21)*условия!$E$60</f>
        <v>0</v>
      </c>
      <c r="BA22" s="6">
        <f>(BA18*$H$22+BA21)*условия!$E$60</f>
        <v>0</v>
      </c>
      <c r="BB22" s="6">
        <f>(BB18*$H$22+BB21)*условия!$E$60</f>
        <v>0</v>
      </c>
      <c r="BC22" s="6">
        <f>(BC18*$H$22+BC21)*условия!$E$60</f>
        <v>0</v>
      </c>
      <c r="BD22" s="6">
        <f>(BD18*$H$22+BD21)*условия!$E$60</f>
        <v>0</v>
      </c>
      <c r="BE22" s="6">
        <f>(BE18*$H$22+BE21)*условия!$E$60</f>
        <v>0</v>
      </c>
      <c r="BF22" s="6">
        <f>(BF18*$H$22+BF21)*условия!$E$60</f>
        <v>0</v>
      </c>
      <c r="BG22" s="6">
        <f>(BG18*$H$22+BG21)*условия!$E$60</f>
        <v>0</v>
      </c>
      <c r="BH22" s="6">
        <f>(BH18*$H$22+BH21)*условия!$E$60</f>
        <v>0</v>
      </c>
      <c r="BI22" s="6">
        <f>(BI18*$H$22+BI21)*условия!$E$60</f>
        <v>0</v>
      </c>
      <c r="BJ22" s="6">
        <f>(BJ18*$H$22+BJ21)*условия!$E$60</f>
        <v>0</v>
      </c>
      <c r="BK22" s="6">
        <f>(BK18*$H$22+BK21)*условия!$E$60</f>
        <v>0</v>
      </c>
      <c r="BL22" s="6">
        <f>(BL18*$H$22+BL21)*условия!$E$60</f>
        <v>0</v>
      </c>
      <c r="BM22" s="6">
        <f>(BM18*$H$22+BM21)*условия!$E$60</f>
        <v>0</v>
      </c>
      <c r="BN22" s="6">
        <f>(BN18*$H$22+BN21)*условия!$E$60</f>
        <v>0</v>
      </c>
      <c r="BO22" s="6">
        <f>(BO18*$H$22+BO21)*условия!$E$60</f>
        <v>0</v>
      </c>
      <c r="BP22" s="6">
        <f>(BP18*$H$22+BP21)*условия!$E$60</f>
        <v>0</v>
      </c>
      <c r="BQ22" s="6">
        <f>(BQ18*$H$22+BQ21)*условия!$E$60</f>
        <v>0</v>
      </c>
      <c r="BR22" s="6">
        <f>(BR18*$H$22+BR21)*условия!$E$60</f>
        <v>0</v>
      </c>
      <c r="BS22" s="6">
        <f>(BS18*$H$22+BS21)*условия!$E$60</f>
        <v>0</v>
      </c>
      <c r="BT22" s="6">
        <f>(BT18*$H$22+BT21)*условия!$E$60</f>
        <v>0</v>
      </c>
      <c r="BU22" s="6">
        <f>(BU18*$H$22+BU21)*условия!$E$60</f>
        <v>0</v>
      </c>
      <c r="BV22" s="6">
        <f>(BV18*$H$22+BV21)*условия!$E$60</f>
        <v>0</v>
      </c>
      <c r="BW22" s="6">
        <f>(BW18*$H$22+BW21)*условия!$E$60</f>
        <v>0</v>
      </c>
      <c r="BX22" s="6">
        <f>(BX18*$H$22+BX21)*условия!$E$60</f>
        <v>0</v>
      </c>
      <c r="BY22" s="6">
        <f>(BY18*$H$22+BY21)*условия!$E$60</f>
        <v>0</v>
      </c>
      <c r="BZ22" s="6">
        <f>(BZ18*$H$22+BZ21)*условия!$E$60</f>
        <v>0</v>
      </c>
      <c r="CA22" s="6">
        <f>(CA18*$H$22+CA21)*условия!$E$60</f>
        <v>0</v>
      </c>
      <c r="CB22" s="6">
        <f>(CB18*$H$22+CB21)*условия!$E$60</f>
        <v>0</v>
      </c>
      <c r="CC22" s="6">
        <f>(CC18*$H$22+CC21)*условия!$E$60</f>
        <v>0</v>
      </c>
      <c r="CD22" s="6">
        <f>(CD18*$H$22+CD21)*условия!$E$60</f>
        <v>0</v>
      </c>
      <c r="CE22" s="6">
        <f>(CE18*$H$22+CE21)*условия!$E$60</f>
        <v>0</v>
      </c>
    </row>
    <row r="23" spans="3:83">
      <c r="C23" s="4" t="str">
        <f>IF(условия!$E$9=1,условия!$C$9,IF(условия!$E$10=1,условия!$C$10,IF(условия!$E$11=1,условия!$C$11,"")))</f>
        <v>ОСНО</v>
      </c>
      <c r="E23" s="4" t="s">
        <v>23</v>
      </c>
      <c r="H23" s="61">
        <f>условия!$E$29</f>
        <v>0.30000000000000004</v>
      </c>
      <c r="I23" s="8" t="s">
        <v>17</v>
      </c>
      <c r="J23" s="62">
        <f>J18*$H$23/(1-условия!$E$31)*условия!$E$31</f>
        <v>14000000</v>
      </c>
      <c r="L23" s="6">
        <f>L18*$H$23/(1-условия!$E$31)*условия!$E$31</f>
        <v>0</v>
      </c>
      <c r="M23" s="6">
        <f>M18*$H$23/(1-условия!$E$31)*условия!$E$31</f>
        <v>0</v>
      </c>
      <c r="N23" s="6">
        <f>N18*$H$23/(1-условия!$E$31)*условия!$E$31</f>
        <v>0</v>
      </c>
      <c r="O23" s="6">
        <f>O18*$H$23/(1-условия!$E$31)*условия!$E$31</f>
        <v>0</v>
      </c>
      <c r="P23" s="6">
        <f>P18*$H$23/(1-условия!$E$31)*условия!$E$31</f>
        <v>0</v>
      </c>
      <c r="Q23" s="6">
        <f>Q18*$H$23/(1-условия!$E$31)*условия!$E$31</f>
        <v>0</v>
      </c>
      <c r="R23" s="6">
        <f>R18*$H$23/(1-условия!$E$31)*условия!$E$31</f>
        <v>0</v>
      </c>
      <c r="S23" s="6">
        <f>S18*$H$23/(1-условия!$E$31)*условия!$E$31</f>
        <v>0</v>
      </c>
      <c r="T23" s="6">
        <f>T18*$H$23/(1-условия!$E$31)*условия!$E$31</f>
        <v>0</v>
      </c>
      <c r="U23" s="6">
        <f>U18*$H$23/(1-условия!$E$31)*условия!$E$31</f>
        <v>0</v>
      </c>
      <c r="V23" s="6">
        <f>V18*$H$23/(1-условия!$E$31)*условия!$E$31</f>
        <v>0</v>
      </c>
      <c r="W23" s="6">
        <f>W18*$H$23/(1-условия!$E$31)*условия!$E$31</f>
        <v>0</v>
      </c>
      <c r="X23" s="6">
        <f>X18*$H$23/(1-условия!$E$31)*условия!$E$31</f>
        <v>0</v>
      </c>
      <c r="Y23" s="6">
        <f>Y18*$H$23/(1-условия!$E$31)*условия!$E$31</f>
        <v>0</v>
      </c>
      <c r="Z23" s="6">
        <f>Z18*$H$23/(1-условия!$E$31)*условия!$E$31</f>
        <v>0</v>
      </c>
      <c r="AA23" s="6">
        <f>AA18*$H$23/(1-условия!$E$31)*условия!$E$31</f>
        <v>0</v>
      </c>
      <c r="AB23" s="6">
        <f>AB18*$H$23/(1-условия!$E$31)*условия!$E$31</f>
        <v>0</v>
      </c>
      <c r="AC23" s="6">
        <f>AC18*$H$23/(1-условия!$E$31)*условия!$E$31</f>
        <v>0</v>
      </c>
      <c r="AD23" s="6">
        <f>AD18*$H$23/(1-условия!$E$31)*условия!$E$31</f>
        <v>0</v>
      </c>
      <c r="AE23" s="6">
        <f>AE18*$H$23/(1-условия!$E$31)*условия!$E$31</f>
        <v>0</v>
      </c>
      <c r="AF23" s="6">
        <f>AF18*$H$23/(1-условия!$E$31)*условия!$E$31</f>
        <v>0</v>
      </c>
      <c r="AG23" s="6">
        <f>AG18*$H$23/(1-условия!$E$31)*условия!$E$31</f>
        <v>0</v>
      </c>
      <c r="AH23" s="6">
        <f>AH18*$H$23/(1-условия!$E$31)*условия!$E$31</f>
        <v>0</v>
      </c>
      <c r="AI23" s="6">
        <f>AI18*$H$23/(1-условия!$E$31)*условия!$E$31</f>
        <v>0</v>
      </c>
      <c r="AJ23" s="6">
        <f>AJ18*$H$23/(1-условия!$E$31)*условия!$E$31</f>
        <v>0</v>
      </c>
      <c r="AK23" s="6">
        <f>AK18*$H$23/(1-условия!$E$31)*условия!$E$31</f>
        <v>133333.33333333334</v>
      </c>
      <c r="AL23" s="6">
        <f>AL18*$H$23/(1-условия!$E$31)*условия!$E$31</f>
        <v>266666.66666666669</v>
      </c>
      <c r="AM23" s="6">
        <f>AM18*$H$23/(1-условия!$E$31)*условия!$E$31</f>
        <v>400000.00000000006</v>
      </c>
      <c r="AN23" s="6">
        <f>AN18*$H$23/(1-условия!$E$31)*условия!$E$31</f>
        <v>533333.33333333337</v>
      </c>
      <c r="AO23" s="6">
        <f>AO18*$H$23/(1-условия!$E$31)*условия!$E$31</f>
        <v>666666.66666666686</v>
      </c>
      <c r="AP23" s="6">
        <f>AP18*$H$23/(1-условия!$E$31)*условия!$E$31</f>
        <v>800000.00000000012</v>
      </c>
      <c r="AQ23" s="6">
        <f>AQ18*$H$23/(1-условия!$E$31)*условия!$E$31</f>
        <v>933333.3333333336</v>
      </c>
      <c r="AR23" s="6">
        <f>AR18*$H$23/(1-условия!$E$31)*условия!$E$31</f>
        <v>1066666.6666666667</v>
      </c>
      <c r="AS23" s="6">
        <f>AS18*$H$23/(1-условия!$E$31)*условия!$E$31</f>
        <v>1200000.0000000002</v>
      </c>
      <c r="AT23" s="6">
        <f>AT18*$H$23/(1-условия!$E$31)*условия!$E$31</f>
        <v>1333333.3333333337</v>
      </c>
      <c r="AU23" s="6">
        <f>AU18*$H$23/(1-условия!$E$31)*условия!$E$31</f>
        <v>1466666.666666667</v>
      </c>
      <c r="AV23" s="6">
        <f>AV18*$H$23/(1-условия!$E$31)*условия!$E$31</f>
        <v>1600000.0000000002</v>
      </c>
      <c r="AW23" s="6">
        <f>AW18*$H$23/(1-условия!$E$31)*условия!$E$31</f>
        <v>1733333.3333333337</v>
      </c>
      <c r="AX23" s="6">
        <f>AX18*$H$23/(1-условия!$E$31)*условия!$E$31</f>
        <v>1866666.6666666672</v>
      </c>
      <c r="AY23" s="6">
        <f>AY18*$H$23/(1-условия!$E$31)*условия!$E$31</f>
        <v>0</v>
      </c>
      <c r="AZ23" s="6">
        <f>AZ18*$H$23/(1-условия!$E$31)*условия!$E$31</f>
        <v>0</v>
      </c>
      <c r="BA23" s="6">
        <f>BA18*$H$23/(1-условия!$E$31)*условия!$E$31</f>
        <v>0</v>
      </c>
      <c r="BB23" s="6">
        <f>BB18*$H$23/(1-условия!$E$31)*условия!$E$31</f>
        <v>0</v>
      </c>
      <c r="BC23" s="6">
        <f>BC18*$H$23/(1-условия!$E$31)*условия!$E$31</f>
        <v>0</v>
      </c>
      <c r="BD23" s="6">
        <f>BD18*$H$23/(1-условия!$E$31)*условия!$E$31</f>
        <v>0</v>
      </c>
      <c r="BE23" s="6">
        <f>BE18*$H$23/(1-условия!$E$31)*условия!$E$31</f>
        <v>0</v>
      </c>
      <c r="BF23" s="6">
        <f>BF18*$H$23/(1-условия!$E$31)*условия!$E$31</f>
        <v>0</v>
      </c>
      <c r="BG23" s="6">
        <f>BG18*$H$23/(1-условия!$E$31)*условия!$E$31</f>
        <v>0</v>
      </c>
      <c r="BH23" s="6">
        <f>BH18*$H$23/(1-условия!$E$31)*условия!$E$31</f>
        <v>0</v>
      </c>
      <c r="BI23" s="6">
        <f>BI18*$H$23/(1-условия!$E$31)*условия!$E$31</f>
        <v>0</v>
      </c>
      <c r="BJ23" s="6">
        <f>BJ18*$H$23/(1-условия!$E$31)*условия!$E$31</f>
        <v>0</v>
      </c>
      <c r="BK23" s="6">
        <f>BK18*$H$23/(1-условия!$E$31)*условия!$E$31</f>
        <v>0</v>
      </c>
      <c r="BL23" s="6">
        <f>BL18*$H$23/(1-условия!$E$31)*условия!$E$31</f>
        <v>0</v>
      </c>
      <c r="BM23" s="6">
        <f>BM18*$H$23/(1-условия!$E$31)*условия!$E$31</f>
        <v>0</v>
      </c>
      <c r="BN23" s="6">
        <f>BN18*$H$23/(1-условия!$E$31)*условия!$E$31</f>
        <v>0</v>
      </c>
      <c r="BO23" s="6">
        <f>BO18*$H$23/(1-условия!$E$31)*условия!$E$31</f>
        <v>0</v>
      </c>
      <c r="BP23" s="6">
        <f>BP18*$H$23/(1-условия!$E$31)*условия!$E$31</f>
        <v>0</v>
      </c>
      <c r="BQ23" s="6">
        <f>BQ18*$H$23/(1-условия!$E$31)*условия!$E$31</f>
        <v>0</v>
      </c>
      <c r="BR23" s="6">
        <f>BR18*$H$23/(1-условия!$E$31)*условия!$E$31</f>
        <v>0</v>
      </c>
      <c r="BS23" s="6">
        <f>BS18*$H$23/(1-условия!$E$31)*условия!$E$31</f>
        <v>0</v>
      </c>
      <c r="BT23" s="6">
        <f>BT18*$H$23/(1-условия!$E$31)*условия!$E$31</f>
        <v>0</v>
      </c>
      <c r="BU23" s="6">
        <f>BU18*$H$23/(1-условия!$E$31)*условия!$E$31</f>
        <v>0</v>
      </c>
      <c r="BV23" s="6">
        <f>BV18*$H$23/(1-условия!$E$31)*условия!$E$31</f>
        <v>0</v>
      </c>
      <c r="BW23" s="6">
        <f>BW18*$H$23/(1-условия!$E$31)*условия!$E$31</f>
        <v>0</v>
      </c>
      <c r="BX23" s="6">
        <f>BX18*$H$23/(1-условия!$E$31)*условия!$E$31</f>
        <v>0</v>
      </c>
      <c r="BY23" s="6">
        <f>BY18*$H$23/(1-условия!$E$31)*условия!$E$31</f>
        <v>0</v>
      </c>
      <c r="BZ23" s="6">
        <f>BZ18*$H$23/(1-условия!$E$31)*условия!$E$31</f>
        <v>0</v>
      </c>
      <c r="CA23" s="6">
        <f>CA18*$H$23/(1-условия!$E$31)*условия!$E$31</f>
        <v>0</v>
      </c>
      <c r="CB23" s="6">
        <f>CB18*$H$23/(1-условия!$E$31)*условия!$E$31</f>
        <v>0</v>
      </c>
      <c r="CC23" s="6">
        <f>CC18*$H$23/(1-условия!$E$31)*условия!$E$31</f>
        <v>0</v>
      </c>
      <c r="CD23" s="6">
        <f>CD18*$H$23/(1-условия!$E$31)*условия!$E$31</f>
        <v>0</v>
      </c>
      <c r="CE23" s="6">
        <f>CE18*$H$23/(1-условия!$E$31)*условия!$E$31</f>
        <v>0</v>
      </c>
    </row>
    <row r="24" spans="3:83">
      <c r="C24" s="4" t="str">
        <f>IF(условия!$E$9=1,условия!$C$9,IF(условия!$E$10=1,условия!$C$10,IF(условия!$E$11=1,условия!$C$11,"")))</f>
        <v>ОСНО</v>
      </c>
    </row>
    <row r="25" spans="3:83" s="3" customFormat="1">
      <c r="C25" s="3" t="str">
        <f>IF(условия!$E$9=1,условия!$C$9,IF(условия!$E$10=1,условия!$C$10,IF(условия!$E$11=1,условия!$C$11,"")))</f>
        <v>ОСНО</v>
      </c>
      <c r="E25" s="82" t="s">
        <v>3</v>
      </c>
      <c r="F25" s="82"/>
      <c r="G25" s="83"/>
      <c r="H25" s="82"/>
      <c r="I25" s="83" t="s">
        <v>17</v>
      </c>
      <c r="J25" s="84">
        <f>SUM(J26:J30)</f>
        <v>2543545000</v>
      </c>
      <c r="K25" s="93"/>
      <c r="L25" s="85">
        <f t="shared" ref="L25:BW25" si="10">SUM(L26:L30)</f>
        <v>0</v>
      </c>
      <c r="M25" s="85">
        <f t="shared" si="10"/>
        <v>0</v>
      </c>
      <c r="N25" s="85">
        <f t="shared" si="10"/>
        <v>0</v>
      </c>
      <c r="O25" s="85">
        <f t="shared" si="10"/>
        <v>0</v>
      </c>
      <c r="P25" s="85">
        <f t="shared" si="10"/>
        <v>0</v>
      </c>
      <c r="Q25" s="85">
        <f t="shared" si="10"/>
        <v>0</v>
      </c>
      <c r="R25" s="85">
        <f t="shared" si="10"/>
        <v>0</v>
      </c>
      <c r="S25" s="85">
        <f t="shared" si="10"/>
        <v>0</v>
      </c>
      <c r="T25" s="85">
        <f t="shared" si="10"/>
        <v>0</v>
      </c>
      <c r="U25" s="85">
        <f t="shared" si="10"/>
        <v>0</v>
      </c>
      <c r="V25" s="85">
        <f t="shared" si="10"/>
        <v>0</v>
      </c>
      <c r="W25" s="85">
        <f t="shared" si="10"/>
        <v>0</v>
      </c>
      <c r="X25" s="85">
        <f t="shared" si="10"/>
        <v>0</v>
      </c>
      <c r="Y25" s="85">
        <f t="shared" si="10"/>
        <v>0</v>
      </c>
      <c r="Z25" s="85">
        <f t="shared" si="10"/>
        <v>0</v>
      </c>
      <c r="AA25" s="85">
        <f t="shared" si="10"/>
        <v>0</v>
      </c>
      <c r="AB25" s="85">
        <f t="shared" si="10"/>
        <v>0</v>
      </c>
      <c r="AC25" s="85">
        <f t="shared" si="10"/>
        <v>0</v>
      </c>
      <c r="AD25" s="85">
        <f t="shared" si="10"/>
        <v>0</v>
      </c>
      <c r="AE25" s="85">
        <f t="shared" si="10"/>
        <v>0</v>
      </c>
      <c r="AF25" s="85">
        <f t="shared" si="10"/>
        <v>0</v>
      </c>
      <c r="AG25" s="85">
        <f t="shared" si="10"/>
        <v>0</v>
      </c>
      <c r="AH25" s="85">
        <f t="shared" si="10"/>
        <v>0</v>
      </c>
      <c r="AI25" s="85">
        <f t="shared" si="10"/>
        <v>0</v>
      </c>
      <c r="AJ25" s="85">
        <f t="shared" si="10"/>
        <v>0</v>
      </c>
      <c r="AK25" s="85">
        <f t="shared" si="10"/>
        <v>4991551.3833992099</v>
      </c>
      <c r="AL25" s="85">
        <f t="shared" si="10"/>
        <v>9983102.7667984199</v>
      </c>
      <c r="AM25" s="85">
        <f t="shared" si="10"/>
        <v>14974654.150197629</v>
      </c>
      <c r="AN25" s="85">
        <f t="shared" si="10"/>
        <v>19966205.53359684</v>
      </c>
      <c r="AO25" s="85">
        <f t="shared" si="10"/>
        <v>24957756.916996047</v>
      </c>
      <c r="AP25" s="85">
        <f t="shared" si="10"/>
        <v>29949308.300395258</v>
      </c>
      <c r="AQ25" s="85">
        <f t="shared" si="10"/>
        <v>34940859.683794469</v>
      </c>
      <c r="AR25" s="85">
        <f t="shared" si="10"/>
        <v>39932411.06719368</v>
      </c>
      <c r="AS25" s="85">
        <f t="shared" si="10"/>
        <v>44923962.450592883</v>
      </c>
      <c r="AT25" s="85">
        <f t="shared" si="10"/>
        <v>49915513.833992094</v>
      </c>
      <c r="AU25" s="85">
        <f t="shared" si="10"/>
        <v>54907065.217391297</v>
      </c>
      <c r="AV25" s="85">
        <f t="shared" si="10"/>
        <v>59898616.600790516</v>
      </c>
      <c r="AW25" s="85">
        <f t="shared" si="10"/>
        <v>64890167.984189734</v>
      </c>
      <c r="AX25" s="85">
        <f t="shared" si="10"/>
        <v>69881719.367588937</v>
      </c>
      <c r="AY25" s="85">
        <f t="shared" si="10"/>
        <v>75413270.750988141</v>
      </c>
      <c r="AZ25" s="85">
        <f t="shared" si="10"/>
        <v>80404822.134387359</v>
      </c>
      <c r="BA25" s="85">
        <f t="shared" si="10"/>
        <v>85396373.517786562</v>
      </c>
      <c r="BB25" s="85">
        <f t="shared" si="10"/>
        <v>90387924.901185766</v>
      </c>
      <c r="BC25" s="85">
        <f t="shared" si="10"/>
        <v>95379476.284584984</v>
      </c>
      <c r="BD25" s="85">
        <f t="shared" si="10"/>
        <v>100371027.66798419</v>
      </c>
      <c r="BE25" s="85">
        <f t="shared" si="10"/>
        <v>105362579.05138341</v>
      </c>
      <c r="BF25" s="85">
        <f t="shared" si="10"/>
        <v>106130510.03344481</v>
      </c>
      <c r="BG25" s="85">
        <f t="shared" si="10"/>
        <v>101906889.632107</v>
      </c>
      <c r="BH25" s="85">
        <f t="shared" si="10"/>
        <v>97683269.230769217</v>
      </c>
      <c r="BI25" s="85">
        <f t="shared" si="10"/>
        <v>93459648.829431444</v>
      </c>
      <c r="BJ25" s="85">
        <f t="shared" si="10"/>
        <v>89236028.428093642</v>
      </c>
      <c r="BK25" s="85">
        <f t="shared" si="10"/>
        <v>85012408.026755854</v>
      </c>
      <c r="BL25" s="85">
        <f t="shared" si="10"/>
        <v>80788787.625418052</v>
      </c>
      <c r="BM25" s="85">
        <f t="shared" si="10"/>
        <v>76565167.224080265</v>
      </c>
      <c r="BN25" s="85">
        <f t="shared" si="10"/>
        <v>72341546.822742477</v>
      </c>
      <c r="BO25" s="85">
        <f t="shared" si="10"/>
        <v>68117926.421404675</v>
      </c>
      <c r="BP25" s="85">
        <f t="shared" si="10"/>
        <v>63894306.02006688</v>
      </c>
      <c r="BQ25" s="85">
        <f t="shared" si="10"/>
        <v>59670685.618729092</v>
      </c>
      <c r="BR25" s="85">
        <f t="shared" si="10"/>
        <v>55447065.217391297</v>
      </c>
      <c r="BS25" s="85">
        <f t="shared" si="10"/>
        <v>51223444.816053502</v>
      </c>
      <c r="BT25" s="85">
        <f t="shared" si="10"/>
        <v>46999824.414715722</v>
      </c>
      <c r="BU25" s="85">
        <f t="shared" si="10"/>
        <v>42776204.013377927</v>
      </c>
      <c r="BV25" s="85">
        <f t="shared" si="10"/>
        <v>38552583.612040132</v>
      </c>
      <c r="BW25" s="85">
        <f t="shared" si="10"/>
        <v>34328963.210702337</v>
      </c>
      <c r="BX25" s="85">
        <f t="shared" ref="BX25:CE25" si="11">SUM(BX26:BX30)</f>
        <v>30105342.809364546</v>
      </c>
      <c r="BY25" s="85">
        <f t="shared" si="11"/>
        <v>25881722.408026751</v>
      </c>
      <c r="BZ25" s="85">
        <f t="shared" si="11"/>
        <v>21658102.006688964</v>
      </c>
      <c r="CA25" s="85">
        <f t="shared" si="11"/>
        <v>17434481.605351169</v>
      </c>
      <c r="CB25" s="85">
        <f t="shared" si="11"/>
        <v>13210861.204013376</v>
      </c>
      <c r="CC25" s="85">
        <f t="shared" si="11"/>
        <v>8987240.8026755843</v>
      </c>
      <c r="CD25" s="85">
        <f t="shared" si="11"/>
        <v>4763620.4013377931</v>
      </c>
      <c r="CE25" s="85">
        <f t="shared" si="11"/>
        <v>540000.00000000012</v>
      </c>
    </row>
    <row r="26" spans="3:83" s="3" customFormat="1">
      <c r="C26" s="3" t="str">
        <f>IF(условия!$E$9=1,условия!$C$9,IF(условия!$E$10=1,условия!$C$10,IF(условия!$E$11=1,условия!$C$11,"")))</f>
        <v>ОСНО</v>
      </c>
      <c r="E26" s="89" t="s">
        <v>14</v>
      </c>
      <c r="F26" s="89"/>
      <c r="G26" s="88"/>
      <c r="H26" s="89"/>
      <c r="I26" s="88" t="s">
        <v>17</v>
      </c>
      <c r="J26" s="90">
        <f>условия!$E$33*(условия!$E$34+условия!$E$35)/2</f>
        <v>2034625000</v>
      </c>
      <c r="K26" s="94"/>
      <c r="L26" s="91">
        <f>IF(OR(L$7&lt;условия!$E$17,L$7&gt;условия!$E$19),0,(L$2)*($J26*(MAX($2:$2)/(MAX($2:$2)+MAX($3:$3)))/((MAX($2:$2)*(MAX($2:$2)+1)/2))))+IF(L$7&lt;=условия!$E$19,0,(-L$3+MAX($3:$3))*($J26*(MAX($3:$3)/(MAX($2:$2)+MAX($3:$3)))/((MAX($3:$3)*(MAX($3:$3)+1)/2))))</f>
        <v>0</v>
      </c>
      <c r="M26" s="91">
        <f>IF(OR(M$7&lt;условия!$E$17,M$7&gt;условия!$E$19),0,(M$2)*($J26*(MAX($2:$2)/(MAX($2:$2)+MAX($3:$3)))/((MAX($2:$2)*(MAX($2:$2)+1)/2))))+IF(M$7&lt;=условия!$E$19,0,(-M$3+MAX($3:$3))*($J26*(MAX($3:$3)/(MAX($2:$2)+MAX($3:$3)))/((MAX($3:$3)*(MAX($3:$3)+1)/2))))</f>
        <v>0</v>
      </c>
      <c r="N26" s="91">
        <f>IF(OR(N$7&lt;условия!$E$17,N$7&gt;условия!$E$19),0,(N$2)*($J26*(MAX($2:$2)/(MAX($2:$2)+MAX($3:$3)))/((MAX($2:$2)*(MAX($2:$2)+1)/2))))+IF(N$7&lt;=условия!$E$19,0,(-N$3+MAX($3:$3))*($J26*(MAX($3:$3)/(MAX($2:$2)+MAX($3:$3)))/((MAX($3:$3)*(MAX($3:$3)+1)/2))))</f>
        <v>0</v>
      </c>
      <c r="O26" s="91">
        <f>IF(OR(O$7&lt;условия!$E$17,O$7&gt;условия!$E$19),0,(O$2)*($J26*(MAX($2:$2)/(MAX($2:$2)+MAX($3:$3)))/((MAX($2:$2)*(MAX($2:$2)+1)/2))))+IF(O$7&lt;=условия!$E$19,0,(-O$3+MAX($3:$3))*($J26*(MAX($3:$3)/(MAX($2:$2)+MAX($3:$3)))/((MAX($3:$3)*(MAX($3:$3)+1)/2))))</f>
        <v>0</v>
      </c>
      <c r="P26" s="91">
        <f>IF(OR(P$7&lt;условия!$E$17,P$7&gt;условия!$E$19),0,(P$2)*($J26*(MAX($2:$2)/(MAX($2:$2)+MAX($3:$3)))/((MAX($2:$2)*(MAX($2:$2)+1)/2))))+IF(P$7&lt;=условия!$E$19,0,(-P$3+MAX($3:$3))*($J26*(MAX($3:$3)/(MAX($2:$2)+MAX($3:$3)))/((MAX($3:$3)*(MAX($3:$3)+1)/2))))</f>
        <v>0</v>
      </c>
      <c r="Q26" s="91">
        <f>IF(OR(Q$7&lt;условия!$E$17,Q$7&gt;условия!$E$19),0,(Q$2)*($J26*(MAX($2:$2)/(MAX($2:$2)+MAX($3:$3)))/((MAX($2:$2)*(MAX($2:$2)+1)/2))))+IF(Q$7&lt;=условия!$E$19,0,(-Q$3+MAX($3:$3))*($J26*(MAX($3:$3)/(MAX($2:$2)+MAX($3:$3)))/((MAX($3:$3)*(MAX($3:$3)+1)/2))))</f>
        <v>0</v>
      </c>
      <c r="R26" s="91">
        <f>IF(OR(R$7&lt;условия!$E$17,R$7&gt;условия!$E$19),0,(R$2)*($J26*(MAX($2:$2)/(MAX($2:$2)+MAX($3:$3)))/((MAX($2:$2)*(MAX($2:$2)+1)/2))))+IF(R$7&lt;=условия!$E$19,0,(-R$3+MAX($3:$3))*($J26*(MAX($3:$3)/(MAX($2:$2)+MAX($3:$3)))/((MAX($3:$3)*(MAX($3:$3)+1)/2))))</f>
        <v>0</v>
      </c>
      <c r="S26" s="91">
        <f>IF(OR(S$7&lt;условия!$E$17,S$7&gt;условия!$E$19),0,(S$2)*($J26*(MAX($2:$2)/(MAX($2:$2)+MAX($3:$3)))/((MAX($2:$2)*(MAX($2:$2)+1)/2))))+IF(S$7&lt;=условия!$E$19,0,(-S$3+MAX($3:$3))*($J26*(MAX($3:$3)/(MAX($2:$2)+MAX($3:$3)))/((MAX($3:$3)*(MAX($3:$3)+1)/2))))</f>
        <v>0</v>
      </c>
      <c r="T26" s="91">
        <f>IF(OR(T$7&lt;условия!$E$17,T$7&gt;условия!$E$19),0,(T$2)*($J26*(MAX($2:$2)/(MAX($2:$2)+MAX($3:$3)))/((MAX($2:$2)*(MAX($2:$2)+1)/2))))+IF(T$7&lt;=условия!$E$19,0,(-T$3+MAX($3:$3))*($J26*(MAX($3:$3)/(MAX($2:$2)+MAX($3:$3)))/((MAX($3:$3)*(MAX($3:$3)+1)/2))))</f>
        <v>0</v>
      </c>
      <c r="U26" s="91">
        <f>IF(OR(U$7&lt;условия!$E$17,U$7&gt;условия!$E$19),0,(U$2)*($J26*(MAX($2:$2)/(MAX($2:$2)+MAX($3:$3)))/((MAX($2:$2)*(MAX($2:$2)+1)/2))))+IF(U$7&lt;=условия!$E$19,0,(-U$3+MAX($3:$3))*($J26*(MAX($3:$3)/(MAX($2:$2)+MAX($3:$3)))/((MAX($3:$3)*(MAX($3:$3)+1)/2))))</f>
        <v>0</v>
      </c>
      <c r="V26" s="91">
        <f>IF(OR(V$7&lt;условия!$E$17,V$7&gt;условия!$E$19),0,(V$2)*($J26*(MAX($2:$2)/(MAX($2:$2)+MAX($3:$3)))/((MAX($2:$2)*(MAX($2:$2)+1)/2))))+IF(V$7&lt;=условия!$E$19,0,(-V$3+MAX($3:$3))*($J26*(MAX($3:$3)/(MAX($2:$2)+MAX($3:$3)))/((MAX($3:$3)*(MAX($3:$3)+1)/2))))</f>
        <v>0</v>
      </c>
      <c r="W26" s="91">
        <f>IF(OR(W$7&lt;условия!$E$17,W$7&gt;условия!$E$19),0,(W$2)*($J26*(MAX($2:$2)/(MAX($2:$2)+MAX($3:$3)))/((MAX($2:$2)*(MAX($2:$2)+1)/2))))+IF(W$7&lt;=условия!$E$19,0,(-W$3+MAX($3:$3))*($J26*(MAX($3:$3)/(MAX($2:$2)+MAX($3:$3)))/((MAX($3:$3)*(MAX($3:$3)+1)/2))))</f>
        <v>0</v>
      </c>
      <c r="X26" s="91">
        <f>IF(OR(X$7&lt;условия!$E$17,X$7&gt;условия!$E$19),0,(X$2)*($J26*(MAX($2:$2)/(MAX($2:$2)+MAX($3:$3)))/((MAX($2:$2)*(MAX($2:$2)+1)/2))))+IF(X$7&lt;=условия!$E$19,0,(-X$3+MAX($3:$3))*($J26*(MAX($3:$3)/(MAX($2:$2)+MAX($3:$3)))/((MAX($3:$3)*(MAX($3:$3)+1)/2))))</f>
        <v>0</v>
      </c>
      <c r="Y26" s="91">
        <f>IF(OR(Y$7&lt;условия!$E$17,Y$7&gt;условия!$E$19),0,(Y$2)*($J26*(MAX($2:$2)/(MAX($2:$2)+MAX($3:$3)))/((MAX($2:$2)*(MAX($2:$2)+1)/2))))+IF(Y$7&lt;=условия!$E$19,0,(-Y$3+MAX($3:$3))*($J26*(MAX($3:$3)/(MAX($2:$2)+MAX($3:$3)))/((MAX($3:$3)*(MAX($3:$3)+1)/2))))</f>
        <v>0</v>
      </c>
      <c r="Z26" s="91">
        <f>IF(OR(Z$7&lt;условия!$E$17,Z$7&gt;условия!$E$19),0,(Z$2)*($J26*(MAX($2:$2)/(MAX($2:$2)+MAX($3:$3)))/((MAX($2:$2)*(MAX($2:$2)+1)/2))))+IF(Z$7&lt;=условия!$E$19,0,(-Z$3+MAX($3:$3))*($J26*(MAX($3:$3)/(MAX($2:$2)+MAX($3:$3)))/((MAX($3:$3)*(MAX($3:$3)+1)/2))))</f>
        <v>0</v>
      </c>
      <c r="AA26" s="91">
        <f>IF(OR(AA$7&lt;условия!$E$17,AA$7&gt;условия!$E$19),0,(AA$2)*($J26*(MAX($2:$2)/(MAX($2:$2)+MAX($3:$3)))/((MAX($2:$2)*(MAX($2:$2)+1)/2))))+IF(AA$7&lt;=условия!$E$19,0,(-AA$3+MAX($3:$3))*($J26*(MAX($3:$3)/(MAX($2:$2)+MAX($3:$3)))/((MAX($3:$3)*(MAX($3:$3)+1)/2))))</f>
        <v>0</v>
      </c>
      <c r="AB26" s="91">
        <f>IF(OR(AB$7&lt;условия!$E$17,AB$7&gt;условия!$E$19),0,(AB$2)*($J26*(MAX($2:$2)/(MAX($2:$2)+MAX($3:$3)))/((MAX($2:$2)*(MAX($2:$2)+1)/2))))+IF(AB$7&lt;=условия!$E$19,0,(-AB$3+MAX($3:$3))*($J26*(MAX($3:$3)/(MAX($2:$2)+MAX($3:$3)))/((MAX($3:$3)*(MAX($3:$3)+1)/2))))</f>
        <v>0</v>
      </c>
      <c r="AC26" s="91">
        <f>IF(OR(AC$7&lt;условия!$E$17,AC$7&gt;условия!$E$19),0,(AC$2)*($J26*(MAX($2:$2)/(MAX($2:$2)+MAX($3:$3)))/((MAX($2:$2)*(MAX($2:$2)+1)/2))))+IF(AC$7&lt;=условия!$E$19,0,(-AC$3+MAX($3:$3))*($J26*(MAX($3:$3)/(MAX($2:$2)+MAX($3:$3)))/((MAX($3:$3)*(MAX($3:$3)+1)/2))))</f>
        <v>0</v>
      </c>
      <c r="AD26" s="91">
        <f>IF(OR(AD$7&lt;условия!$E$17,AD$7&gt;условия!$E$19),0,(AD$2)*($J26*(MAX($2:$2)/(MAX($2:$2)+MAX($3:$3)))/((MAX($2:$2)*(MAX($2:$2)+1)/2))))+IF(AD$7&lt;=условия!$E$19,0,(-AD$3+MAX($3:$3))*($J26*(MAX($3:$3)/(MAX($2:$2)+MAX($3:$3)))/((MAX($3:$3)*(MAX($3:$3)+1)/2))))</f>
        <v>0</v>
      </c>
      <c r="AE26" s="91">
        <f>IF(OR(AE$7&lt;условия!$E$17,AE$7&gt;условия!$E$19),0,(AE$2)*($J26*(MAX($2:$2)/(MAX($2:$2)+MAX($3:$3)))/((MAX($2:$2)*(MAX($2:$2)+1)/2))))+IF(AE$7&lt;=условия!$E$19,0,(-AE$3+MAX($3:$3))*($J26*(MAX($3:$3)/(MAX($2:$2)+MAX($3:$3)))/((MAX($3:$3)*(MAX($3:$3)+1)/2))))</f>
        <v>0</v>
      </c>
      <c r="AF26" s="91">
        <f>IF(OR(AF$7&lt;условия!$E$17,AF$7&gt;условия!$E$19),0,(AF$2)*($J26*(MAX($2:$2)/(MAX($2:$2)+MAX($3:$3)))/((MAX($2:$2)*(MAX($2:$2)+1)/2))))+IF(AF$7&lt;=условия!$E$19,0,(-AF$3+MAX($3:$3))*($J26*(MAX($3:$3)/(MAX($2:$2)+MAX($3:$3)))/((MAX($3:$3)*(MAX($3:$3)+1)/2))))</f>
        <v>0</v>
      </c>
      <c r="AG26" s="91">
        <f>IF(OR(AG$7&lt;условия!$E$17,AG$7&gt;условия!$E$19),0,(AG$2)*($J26*(MAX($2:$2)/(MAX($2:$2)+MAX($3:$3)))/((MAX($2:$2)*(MAX($2:$2)+1)/2))))+IF(AG$7&lt;=условия!$E$19,0,(-AG$3+MAX($3:$3))*($J26*(MAX($3:$3)/(MAX($2:$2)+MAX($3:$3)))/((MAX($3:$3)*(MAX($3:$3)+1)/2))))</f>
        <v>0</v>
      </c>
      <c r="AH26" s="91">
        <f>IF(OR(AH$7&lt;условия!$E$17,AH$7&gt;условия!$E$19),0,(AH$2)*($J26*(MAX($2:$2)/(MAX($2:$2)+MAX($3:$3)))/((MAX($2:$2)*(MAX($2:$2)+1)/2))))+IF(AH$7&lt;=условия!$E$19,0,(-AH$3+MAX($3:$3))*($J26*(MAX($3:$3)/(MAX($2:$2)+MAX($3:$3)))/((MAX($3:$3)*(MAX($3:$3)+1)/2))))</f>
        <v>0</v>
      </c>
      <c r="AI26" s="91">
        <f>IF(OR(AI$7&lt;условия!$E$17,AI$7&gt;условия!$E$19),0,(AI$2)*($J26*(MAX($2:$2)/(MAX($2:$2)+MAX($3:$3)))/((MAX($2:$2)*(MAX($2:$2)+1)/2))))+IF(AI$7&lt;=условия!$E$19,0,(-AI$3+MAX($3:$3))*($J26*(MAX($3:$3)/(MAX($2:$2)+MAX($3:$3)))/((MAX($3:$3)*(MAX($3:$3)+1)/2))))</f>
        <v>0</v>
      </c>
      <c r="AJ26" s="91">
        <f>IF(OR(AJ$7&lt;условия!$E$17,AJ$7&gt;условия!$E$19),0,(AJ$2)*($J26*(MAX($2:$2)/(MAX($2:$2)+MAX($3:$3)))/((MAX($2:$2)*(MAX($2:$2)+1)/2))))+IF(AJ$7&lt;=условия!$E$19,0,(-AJ$3+MAX($3:$3))*($J26*(MAX($3:$3)/(MAX($2:$2)+MAX($3:$3)))/((MAX($3:$3)*(MAX($3:$3)+1)/2))))</f>
        <v>0</v>
      </c>
      <c r="AK26" s="91">
        <f>IF(OR(AK$7&lt;условия!$E$17,AK$7&gt;условия!$E$19),0,(AK$2)*($J26*(MAX($2:$2)/(MAX($2:$2)+MAX($3:$3)))/((MAX($2:$2)*(MAX($2:$2)+1)/2))))+IF(AK$7&lt;=условия!$E$19,0,(-AK$3+MAX($3:$3))*($J26*(MAX($3:$3)/(MAX($2:$2)+MAX($3:$3)))/((MAX($3:$3)*(MAX($3:$3)+1)/2))))</f>
        <v>4020998.023715415</v>
      </c>
      <c r="AL26" s="91">
        <f>IF(OR(AL$7&lt;условия!$E$17,AL$7&gt;условия!$E$19),0,(AL$2)*($J26*(MAX($2:$2)/(MAX($2:$2)+MAX($3:$3)))/((MAX($2:$2)*(MAX($2:$2)+1)/2))))+IF(AL$7&lt;=условия!$E$19,0,(-AL$3+MAX($3:$3))*($J26*(MAX($3:$3)/(MAX($2:$2)+MAX($3:$3)))/((MAX($3:$3)*(MAX($3:$3)+1)/2))))</f>
        <v>8041996.0474308301</v>
      </c>
      <c r="AM26" s="91">
        <f>IF(OR(AM$7&lt;условия!$E$17,AM$7&gt;условия!$E$19),0,(AM$2)*($J26*(MAX($2:$2)/(MAX($2:$2)+MAX($3:$3)))/((MAX($2:$2)*(MAX($2:$2)+1)/2))))+IF(AM$7&lt;=условия!$E$19,0,(-AM$3+MAX($3:$3))*($J26*(MAX($3:$3)/(MAX($2:$2)+MAX($3:$3)))/((MAX($3:$3)*(MAX($3:$3)+1)/2))))</f>
        <v>12062994.071146246</v>
      </c>
      <c r="AN26" s="91">
        <f>IF(OR(AN$7&lt;условия!$E$17,AN$7&gt;условия!$E$19),0,(AN$2)*($J26*(MAX($2:$2)/(MAX($2:$2)+MAX($3:$3)))/((MAX($2:$2)*(MAX($2:$2)+1)/2))))+IF(AN$7&lt;=условия!$E$19,0,(-AN$3+MAX($3:$3))*($J26*(MAX($3:$3)/(MAX($2:$2)+MAX($3:$3)))/((MAX($3:$3)*(MAX($3:$3)+1)/2))))</f>
        <v>16083992.09486166</v>
      </c>
      <c r="AO26" s="91">
        <f>IF(OR(AO$7&lt;условия!$E$17,AO$7&gt;условия!$E$19),0,(AO$2)*($J26*(MAX($2:$2)/(MAX($2:$2)+MAX($3:$3)))/((MAX($2:$2)*(MAX($2:$2)+1)/2))))+IF(AO$7&lt;=условия!$E$19,0,(-AO$3+MAX($3:$3))*($J26*(MAX($3:$3)/(MAX($2:$2)+MAX($3:$3)))/((MAX($3:$3)*(MAX($3:$3)+1)/2))))</f>
        <v>20104990.118577074</v>
      </c>
      <c r="AP26" s="91">
        <f>IF(OR(AP$7&lt;условия!$E$17,AP$7&gt;условия!$E$19),0,(AP$2)*($J26*(MAX($2:$2)/(MAX($2:$2)+MAX($3:$3)))/((MAX($2:$2)*(MAX($2:$2)+1)/2))))+IF(AP$7&lt;=условия!$E$19,0,(-AP$3+MAX($3:$3))*($J26*(MAX($3:$3)/(MAX($2:$2)+MAX($3:$3)))/((MAX($3:$3)*(MAX($3:$3)+1)/2))))</f>
        <v>24125988.142292492</v>
      </c>
      <c r="AQ26" s="91">
        <f>IF(OR(AQ$7&lt;условия!$E$17,AQ$7&gt;условия!$E$19),0,(AQ$2)*($J26*(MAX($2:$2)/(MAX($2:$2)+MAX($3:$3)))/((MAX($2:$2)*(MAX($2:$2)+1)/2))))+IF(AQ$7&lt;=условия!$E$19,0,(-AQ$3+MAX($3:$3))*($J26*(MAX($3:$3)/(MAX($2:$2)+MAX($3:$3)))/((MAX($3:$3)*(MAX($3:$3)+1)/2))))</f>
        <v>28146986.166007906</v>
      </c>
      <c r="AR26" s="91">
        <f>IF(OR(AR$7&lt;условия!$E$17,AR$7&gt;условия!$E$19),0,(AR$2)*($J26*(MAX($2:$2)/(MAX($2:$2)+MAX($3:$3)))/((MAX($2:$2)*(MAX($2:$2)+1)/2))))+IF(AR$7&lt;=условия!$E$19,0,(-AR$3+MAX($3:$3))*($J26*(MAX($3:$3)/(MAX($2:$2)+MAX($3:$3)))/((MAX($3:$3)*(MAX($3:$3)+1)/2))))</f>
        <v>32167984.18972332</v>
      </c>
      <c r="AS26" s="91">
        <f>IF(OR(AS$7&lt;условия!$E$17,AS$7&gt;условия!$E$19),0,(AS$2)*($J26*(MAX($2:$2)/(MAX($2:$2)+MAX($3:$3)))/((MAX($2:$2)*(MAX($2:$2)+1)/2))))+IF(AS$7&lt;=условия!$E$19,0,(-AS$3+MAX($3:$3))*($J26*(MAX($3:$3)/(MAX($2:$2)+MAX($3:$3)))/((MAX($3:$3)*(MAX($3:$3)+1)/2))))</f>
        <v>36188982.213438734</v>
      </c>
      <c r="AT26" s="91">
        <f>IF(OR(AT$7&lt;условия!$E$17,AT$7&gt;условия!$E$19),0,(AT$2)*($J26*(MAX($2:$2)/(MAX($2:$2)+MAX($3:$3)))/((MAX($2:$2)*(MAX($2:$2)+1)/2))))+IF(AT$7&lt;=условия!$E$19,0,(-AT$3+MAX($3:$3))*($J26*(MAX($3:$3)/(MAX($2:$2)+MAX($3:$3)))/((MAX($3:$3)*(MAX($3:$3)+1)/2))))</f>
        <v>40209980.237154149</v>
      </c>
      <c r="AU26" s="91">
        <f>IF(OR(AU$7&lt;условия!$E$17,AU$7&gt;условия!$E$19),0,(AU$2)*($J26*(MAX($2:$2)/(MAX($2:$2)+MAX($3:$3)))/((MAX($2:$2)*(MAX($2:$2)+1)/2))))+IF(AU$7&lt;=условия!$E$19,0,(-AU$3+MAX($3:$3))*($J26*(MAX($3:$3)/(MAX($2:$2)+MAX($3:$3)))/((MAX($3:$3)*(MAX($3:$3)+1)/2))))</f>
        <v>44230978.260869563</v>
      </c>
      <c r="AV26" s="91">
        <f>IF(OR(AV$7&lt;условия!$E$17,AV$7&gt;условия!$E$19),0,(AV$2)*($J26*(MAX($2:$2)/(MAX($2:$2)+MAX($3:$3)))/((MAX($2:$2)*(MAX($2:$2)+1)/2))))+IF(AV$7&lt;=условия!$E$19,0,(-AV$3+MAX($3:$3))*($J26*(MAX($3:$3)/(MAX($2:$2)+MAX($3:$3)))/((MAX($3:$3)*(MAX($3:$3)+1)/2))))</f>
        <v>48251976.284584984</v>
      </c>
      <c r="AW26" s="91">
        <f>IF(OR(AW$7&lt;условия!$E$17,AW$7&gt;условия!$E$19),0,(AW$2)*($J26*(MAX($2:$2)/(MAX($2:$2)+MAX($3:$3)))/((MAX($2:$2)*(MAX($2:$2)+1)/2))))+IF(AW$7&lt;=условия!$E$19,0,(-AW$3+MAX($3:$3))*($J26*(MAX($3:$3)/(MAX($2:$2)+MAX($3:$3)))/((MAX($3:$3)*(MAX($3:$3)+1)/2))))</f>
        <v>52272974.308300398</v>
      </c>
      <c r="AX26" s="91">
        <f>IF(OR(AX$7&lt;условия!$E$17,AX$7&gt;условия!$E$19),0,(AX$2)*($J26*(MAX($2:$2)/(MAX($2:$2)+MAX($3:$3)))/((MAX($2:$2)*(MAX($2:$2)+1)/2))))+IF(AX$7&lt;=условия!$E$19,0,(-AX$3+MAX($3:$3))*($J26*(MAX($3:$3)/(MAX($2:$2)+MAX($3:$3)))/((MAX($3:$3)*(MAX($3:$3)+1)/2))))</f>
        <v>56293972.332015812</v>
      </c>
      <c r="AY26" s="91">
        <f>IF(OR(AY$7&lt;условия!$E$17,AY$7&gt;условия!$E$19),0,(AY$2)*($J26*(MAX($2:$2)/(MAX($2:$2)+MAX($3:$3)))/((MAX($2:$2)*(MAX($2:$2)+1)/2))))+IF(AY$7&lt;=условия!$E$19,0,(-AY$3+MAX($3:$3))*($J26*(MAX($3:$3)/(MAX($2:$2)+MAX($3:$3)))/((MAX($3:$3)*(MAX($3:$3)+1)/2))))</f>
        <v>60314970.355731227</v>
      </c>
      <c r="AZ26" s="91">
        <f>IF(OR(AZ$7&lt;условия!$E$17,AZ$7&gt;условия!$E$19),0,(AZ$2)*($J26*(MAX($2:$2)/(MAX($2:$2)+MAX($3:$3)))/((MAX($2:$2)*(MAX($2:$2)+1)/2))))+IF(AZ$7&lt;=условия!$E$19,0,(-AZ$3+MAX($3:$3))*($J26*(MAX($3:$3)/(MAX($2:$2)+MAX($3:$3)))/((MAX($3:$3)*(MAX($3:$3)+1)/2))))</f>
        <v>64335968.379446641</v>
      </c>
      <c r="BA26" s="91">
        <f>IF(OR(BA$7&lt;условия!$E$17,BA$7&gt;условия!$E$19),0,(BA$2)*($J26*(MAX($2:$2)/(MAX($2:$2)+MAX($3:$3)))/((MAX($2:$2)*(MAX($2:$2)+1)/2))))+IF(BA$7&lt;=условия!$E$19,0,(-BA$3+MAX($3:$3))*($J26*(MAX($3:$3)/(MAX($2:$2)+MAX($3:$3)))/((MAX($3:$3)*(MAX($3:$3)+1)/2))))</f>
        <v>68356966.403162062</v>
      </c>
      <c r="BB26" s="91">
        <f>IF(OR(BB$7&lt;условия!$E$17,BB$7&gt;условия!$E$19),0,(BB$2)*($J26*(MAX($2:$2)/(MAX($2:$2)+MAX($3:$3)))/((MAX($2:$2)*(MAX($2:$2)+1)/2))))+IF(BB$7&lt;=условия!$E$19,0,(-BB$3+MAX($3:$3))*($J26*(MAX($3:$3)/(MAX($2:$2)+MAX($3:$3)))/((MAX($3:$3)*(MAX($3:$3)+1)/2))))</f>
        <v>72377964.426877469</v>
      </c>
      <c r="BC26" s="91">
        <f>IF(OR(BC$7&lt;условия!$E$17,BC$7&gt;условия!$E$19),0,(BC$2)*($J26*(MAX($2:$2)/(MAX($2:$2)+MAX($3:$3)))/((MAX($2:$2)*(MAX($2:$2)+1)/2))))+IF(BC$7&lt;=условия!$E$19,0,(-BC$3+MAX($3:$3))*($J26*(MAX($3:$3)/(MAX($2:$2)+MAX($3:$3)))/((MAX($3:$3)*(MAX($3:$3)+1)/2))))</f>
        <v>76398962.45059289</v>
      </c>
      <c r="BD26" s="91">
        <f>IF(OR(BD$7&lt;условия!$E$17,BD$7&gt;условия!$E$19),0,(BD$2)*($J26*(MAX($2:$2)/(MAX($2:$2)+MAX($3:$3)))/((MAX($2:$2)*(MAX($2:$2)+1)/2))))+IF(BD$7&lt;=условия!$E$19,0,(-BD$3+MAX($3:$3))*($J26*(MAX($3:$3)/(MAX($2:$2)+MAX($3:$3)))/((MAX($3:$3)*(MAX($3:$3)+1)/2))))</f>
        <v>80419960.474308297</v>
      </c>
      <c r="BE26" s="91">
        <f>IF(OR(BE$7&lt;условия!$E$17,BE$7&gt;условия!$E$19),0,(BE$2)*($J26*(MAX($2:$2)/(MAX($2:$2)+MAX($3:$3)))/((MAX($2:$2)*(MAX($2:$2)+1)/2))))+IF(BE$7&lt;=условия!$E$19,0,(-BE$3+MAX($3:$3))*($J26*(MAX($3:$3)/(MAX($2:$2)+MAX($3:$3)))/((MAX($3:$3)*(MAX($3:$3)+1)/2))))</f>
        <v>84440958.498023719</v>
      </c>
      <c r="BF26" s="91">
        <f>IF(OR(BF$7&lt;условия!$E$17,BF$7&gt;условия!$E$19),0,(BF$2)*($J26*(MAX($2:$2)/(MAX($2:$2)+MAX($3:$3)))/((MAX($2:$2)*(MAX($2:$2)+1)/2))))+IF(BF$7&lt;=условия!$E$19,0,(-BF$3+MAX($3:$3))*($J26*(MAX($3:$3)/(MAX($2:$2)+MAX($3:$3)))/((MAX($3:$3)*(MAX($3:$3)+1)/2))))</f>
        <v>85059573.57859531</v>
      </c>
      <c r="BG26" s="91">
        <f>IF(OR(BG$7&lt;условия!$E$17,BG$7&gt;условия!$E$19),0,(BG$2)*($J26*(MAX($2:$2)/(MAX($2:$2)+MAX($3:$3)))/((MAX($2:$2)*(MAX($2:$2)+1)/2))))+IF(BG$7&lt;=условия!$E$19,0,(-BG$3+MAX($3:$3))*($J26*(MAX($3:$3)/(MAX($2:$2)+MAX($3:$3)))/((MAX($3:$3)*(MAX($3:$3)+1)/2))))</f>
        <v>81657190.635451496</v>
      </c>
      <c r="BH26" s="91">
        <f>IF(OR(BH$7&lt;условия!$E$17,BH$7&gt;условия!$E$19),0,(BH$2)*($J26*(MAX($2:$2)/(MAX($2:$2)+MAX($3:$3)))/((MAX($2:$2)*(MAX($2:$2)+1)/2))))+IF(BH$7&lt;=условия!$E$19,0,(-BH$3+MAX($3:$3))*($J26*(MAX($3:$3)/(MAX($2:$2)+MAX($3:$3)))/((MAX($3:$3)*(MAX($3:$3)+1)/2))))</f>
        <v>78254807.692307681</v>
      </c>
      <c r="BI26" s="91">
        <f>IF(OR(BI$7&lt;условия!$E$17,BI$7&gt;условия!$E$19),0,(BI$2)*($J26*(MAX($2:$2)/(MAX($2:$2)+MAX($3:$3)))/((MAX($2:$2)*(MAX($2:$2)+1)/2))))+IF(BI$7&lt;=условия!$E$19,0,(-BI$3+MAX($3:$3))*($J26*(MAX($3:$3)/(MAX($2:$2)+MAX($3:$3)))/((MAX($3:$3)*(MAX($3:$3)+1)/2))))</f>
        <v>74852424.749163881</v>
      </c>
      <c r="BJ26" s="91">
        <f>IF(OR(BJ$7&lt;условия!$E$17,BJ$7&gt;условия!$E$19),0,(BJ$2)*($J26*(MAX($2:$2)/(MAX($2:$2)+MAX($3:$3)))/((MAX($2:$2)*(MAX($2:$2)+1)/2))))+IF(BJ$7&lt;=условия!$E$19,0,(-BJ$3+MAX($3:$3))*($J26*(MAX($3:$3)/(MAX($2:$2)+MAX($3:$3)))/((MAX($3:$3)*(MAX($3:$3)+1)/2))))</f>
        <v>71450041.806020066</v>
      </c>
      <c r="BK26" s="91">
        <f>IF(OR(BK$7&lt;условия!$E$17,BK$7&gt;условия!$E$19),0,(BK$2)*($J26*(MAX($2:$2)/(MAX($2:$2)+MAX($3:$3)))/((MAX($2:$2)*(MAX($2:$2)+1)/2))))+IF(BK$7&lt;=условия!$E$19,0,(-BK$3+MAX($3:$3))*($J26*(MAX($3:$3)/(MAX($2:$2)+MAX($3:$3)))/((MAX($3:$3)*(MAX($3:$3)+1)/2))))</f>
        <v>68047658.862876251</v>
      </c>
      <c r="BL26" s="91">
        <f>IF(OR(BL$7&lt;условия!$E$17,BL$7&gt;условия!$E$19),0,(BL$2)*($J26*(MAX($2:$2)/(MAX($2:$2)+MAX($3:$3)))/((MAX($2:$2)*(MAX($2:$2)+1)/2))))+IF(BL$7&lt;=условия!$E$19,0,(-BL$3+MAX($3:$3))*($J26*(MAX($3:$3)/(MAX($2:$2)+MAX($3:$3)))/((MAX($3:$3)*(MAX($3:$3)+1)/2))))</f>
        <v>64645275.919732437</v>
      </c>
      <c r="BM26" s="91">
        <f>IF(OR(BM$7&lt;условия!$E$17,BM$7&gt;условия!$E$19),0,(BM$2)*($J26*(MAX($2:$2)/(MAX($2:$2)+MAX($3:$3)))/((MAX($2:$2)*(MAX($2:$2)+1)/2))))+IF(BM$7&lt;=условия!$E$19,0,(-BM$3+MAX($3:$3))*($J26*(MAX($3:$3)/(MAX($2:$2)+MAX($3:$3)))/((MAX($3:$3)*(MAX($3:$3)+1)/2))))</f>
        <v>61242892.976588622</v>
      </c>
      <c r="BN26" s="91">
        <f>IF(OR(BN$7&lt;условия!$E$17,BN$7&gt;условия!$E$19),0,(BN$2)*($J26*(MAX($2:$2)/(MAX($2:$2)+MAX($3:$3)))/((MAX($2:$2)*(MAX($2:$2)+1)/2))))+IF(BN$7&lt;=условия!$E$19,0,(-BN$3+MAX($3:$3))*($J26*(MAX($3:$3)/(MAX($2:$2)+MAX($3:$3)))/((MAX($3:$3)*(MAX($3:$3)+1)/2))))</f>
        <v>57840510.033444814</v>
      </c>
      <c r="BO26" s="91">
        <f>IF(OR(BO$7&lt;условия!$E$17,BO$7&gt;условия!$E$19),0,(BO$2)*($J26*(MAX($2:$2)/(MAX($2:$2)+MAX($3:$3)))/((MAX($2:$2)*(MAX($2:$2)+1)/2))))+IF(BO$7&lt;=условия!$E$19,0,(-BO$3+MAX($3:$3))*($J26*(MAX($3:$3)/(MAX($2:$2)+MAX($3:$3)))/((MAX($3:$3)*(MAX($3:$3)+1)/2))))</f>
        <v>54438127.090301</v>
      </c>
      <c r="BP26" s="91">
        <f>IF(OR(BP$7&lt;условия!$E$17,BP$7&gt;условия!$E$19),0,(BP$2)*($J26*(MAX($2:$2)/(MAX($2:$2)+MAX($3:$3)))/((MAX($2:$2)*(MAX($2:$2)+1)/2))))+IF(BP$7&lt;=условия!$E$19,0,(-BP$3+MAX($3:$3))*($J26*(MAX($3:$3)/(MAX($2:$2)+MAX($3:$3)))/((MAX($3:$3)*(MAX($3:$3)+1)/2))))</f>
        <v>51035744.147157185</v>
      </c>
      <c r="BQ26" s="91">
        <f>IF(OR(BQ$7&lt;условия!$E$17,BQ$7&gt;условия!$E$19),0,(BQ$2)*($J26*(MAX($2:$2)/(MAX($2:$2)+MAX($3:$3)))/((MAX($2:$2)*(MAX($2:$2)+1)/2))))+IF(BQ$7&lt;=условия!$E$19,0,(-BQ$3+MAX($3:$3))*($J26*(MAX($3:$3)/(MAX($2:$2)+MAX($3:$3)))/((MAX($3:$3)*(MAX($3:$3)+1)/2))))</f>
        <v>47633361.204013377</v>
      </c>
      <c r="BR26" s="91">
        <f>IF(OR(BR$7&lt;условия!$E$17,BR$7&gt;условия!$E$19),0,(BR$2)*($J26*(MAX($2:$2)/(MAX($2:$2)+MAX($3:$3)))/((MAX($2:$2)*(MAX($2:$2)+1)/2))))+IF(BR$7&lt;=условия!$E$19,0,(-BR$3+MAX($3:$3))*($J26*(MAX($3:$3)/(MAX($2:$2)+MAX($3:$3)))/((MAX($3:$3)*(MAX($3:$3)+1)/2))))</f>
        <v>44230978.260869563</v>
      </c>
      <c r="BS26" s="91">
        <f>IF(OR(BS$7&lt;условия!$E$17,BS$7&gt;условия!$E$19),0,(BS$2)*($J26*(MAX($2:$2)/(MAX($2:$2)+MAX($3:$3)))/((MAX($2:$2)*(MAX($2:$2)+1)/2))))+IF(BS$7&lt;=условия!$E$19,0,(-BS$3+MAX($3:$3))*($J26*(MAX($3:$3)/(MAX($2:$2)+MAX($3:$3)))/((MAX($3:$3)*(MAX($3:$3)+1)/2))))</f>
        <v>40828595.317725748</v>
      </c>
      <c r="BT26" s="91">
        <f>IF(OR(BT$7&lt;условия!$E$17,BT$7&gt;условия!$E$19),0,(BT$2)*($J26*(MAX($2:$2)/(MAX($2:$2)+MAX($3:$3)))/((MAX($2:$2)*(MAX($2:$2)+1)/2))))+IF(BT$7&lt;=условия!$E$19,0,(-BT$3+MAX($3:$3))*($J26*(MAX($3:$3)/(MAX($2:$2)+MAX($3:$3)))/((MAX($3:$3)*(MAX($3:$3)+1)/2))))</f>
        <v>37426212.37458194</v>
      </c>
      <c r="BU26" s="91">
        <f>IF(OR(BU$7&lt;условия!$E$17,BU$7&gt;условия!$E$19),0,(BU$2)*($J26*(MAX($2:$2)/(MAX($2:$2)+MAX($3:$3)))/((MAX($2:$2)*(MAX($2:$2)+1)/2))))+IF(BU$7&lt;=условия!$E$19,0,(-BU$3+MAX($3:$3))*($J26*(MAX($3:$3)/(MAX($2:$2)+MAX($3:$3)))/((MAX($3:$3)*(MAX($3:$3)+1)/2))))</f>
        <v>34023829.431438126</v>
      </c>
      <c r="BV26" s="91">
        <f>IF(OR(BV$7&lt;условия!$E$17,BV$7&gt;условия!$E$19),0,(BV$2)*($J26*(MAX($2:$2)/(MAX($2:$2)+MAX($3:$3)))/((MAX($2:$2)*(MAX($2:$2)+1)/2))))+IF(BV$7&lt;=условия!$E$19,0,(-BV$3+MAX($3:$3))*($J26*(MAX($3:$3)/(MAX($2:$2)+MAX($3:$3)))/((MAX($3:$3)*(MAX($3:$3)+1)/2))))</f>
        <v>30621446.488294311</v>
      </c>
      <c r="BW26" s="91">
        <f>IF(OR(BW$7&lt;условия!$E$17,BW$7&gt;условия!$E$19),0,(BW$2)*($J26*(MAX($2:$2)/(MAX($2:$2)+MAX($3:$3)))/((MAX($2:$2)*(MAX($2:$2)+1)/2))))+IF(BW$7&lt;=условия!$E$19,0,(-BW$3+MAX($3:$3))*($J26*(MAX($3:$3)/(MAX($2:$2)+MAX($3:$3)))/((MAX($3:$3)*(MAX($3:$3)+1)/2))))</f>
        <v>27219063.5451505</v>
      </c>
      <c r="BX26" s="91">
        <f>IF(OR(BX$7&lt;условия!$E$17,BX$7&gt;условия!$E$19),0,(BX$2)*($J26*(MAX($2:$2)/(MAX($2:$2)+MAX($3:$3)))/((MAX($2:$2)*(MAX($2:$2)+1)/2))))+IF(BX$7&lt;=условия!$E$19,0,(-BX$3+MAX($3:$3))*($J26*(MAX($3:$3)/(MAX($2:$2)+MAX($3:$3)))/((MAX($3:$3)*(MAX($3:$3)+1)/2))))</f>
        <v>23816680.602006689</v>
      </c>
      <c r="BY26" s="91">
        <f>IF(OR(BY$7&lt;условия!$E$17,BY$7&gt;условия!$E$19),0,(BY$2)*($J26*(MAX($2:$2)/(MAX($2:$2)+MAX($3:$3)))/((MAX($2:$2)*(MAX($2:$2)+1)/2))))+IF(BY$7&lt;=условия!$E$19,0,(-BY$3+MAX($3:$3))*($J26*(MAX($3:$3)/(MAX($2:$2)+MAX($3:$3)))/((MAX($3:$3)*(MAX($3:$3)+1)/2))))</f>
        <v>20414297.658862874</v>
      </c>
      <c r="BZ26" s="91">
        <f>IF(OR(BZ$7&lt;условия!$E$17,BZ$7&gt;условия!$E$19),0,(BZ$2)*($J26*(MAX($2:$2)/(MAX($2:$2)+MAX($3:$3)))/((MAX($2:$2)*(MAX($2:$2)+1)/2))))+IF(BZ$7&lt;=условия!$E$19,0,(-BZ$3+MAX($3:$3))*($J26*(MAX($3:$3)/(MAX($2:$2)+MAX($3:$3)))/((MAX($3:$3)*(MAX($3:$3)+1)/2))))</f>
        <v>17011914.715719063</v>
      </c>
      <c r="CA26" s="91">
        <f>IF(OR(CA$7&lt;условия!$E$17,CA$7&gt;условия!$E$19),0,(CA$2)*($J26*(MAX($2:$2)/(MAX($2:$2)+MAX($3:$3)))/((MAX($2:$2)*(MAX($2:$2)+1)/2))))+IF(CA$7&lt;=условия!$E$19,0,(-CA$3+MAX($3:$3))*($J26*(MAX($3:$3)/(MAX($2:$2)+MAX($3:$3)))/((MAX($3:$3)*(MAX($3:$3)+1)/2))))</f>
        <v>13609531.77257525</v>
      </c>
      <c r="CB26" s="91">
        <f>IF(OR(CB$7&lt;условия!$E$17,CB$7&gt;условия!$E$19),0,(CB$2)*($J26*(MAX($2:$2)/(MAX($2:$2)+MAX($3:$3)))/((MAX($2:$2)*(MAX($2:$2)+1)/2))))+IF(CB$7&lt;=условия!$E$19,0,(-CB$3+MAX($3:$3))*($J26*(MAX($3:$3)/(MAX($2:$2)+MAX($3:$3)))/((MAX($3:$3)*(MAX($3:$3)+1)/2))))</f>
        <v>10207148.829431437</v>
      </c>
      <c r="CC26" s="91">
        <f>IF(OR(CC$7&lt;условия!$E$17,CC$7&gt;условия!$E$19),0,(CC$2)*($J26*(MAX($2:$2)/(MAX($2:$2)+MAX($3:$3)))/((MAX($2:$2)*(MAX($2:$2)+1)/2))))+IF(CC$7&lt;=условия!$E$19,0,(-CC$3+MAX($3:$3))*($J26*(MAX($3:$3)/(MAX($2:$2)+MAX($3:$3)))/((MAX($3:$3)*(MAX($3:$3)+1)/2))))</f>
        <v>6804765.8862876249</v>
      </c>
      <c r="CD26" s="91">
        <f>IF(OR(CD$7&lt;условия!$E$17,CD$7&gt;условия!$E$19),0,(CD$2)*($J26*(MAX($2:$2)/(MAX($2:$2)+MAX($3:$3)))/((MAX($2:$2)*(MAX($2:$2)+1)/2))))+IF(CD$7&lt;=условия!$E$19,0,(-CD$3+MAX($3:$3))*($J26*(MAX($3:$3)/(MAX($2:$2)+MAX($3:$3)))/((MAX($3:$3)*(MAX($3:$3)+1)/2))))</f>
        <v>3402382.9431438125</v>
      </c>
      <c r="CE26" s="91">
        <f>IF(OR(CE$7&lt;условия!$E$17,CE$7&gt;условия!$E$19),0,(CE$2)*($J26*(MAX($2:$2)/(MAX($2:$2)+MAX($3:$3)))/((MAX($2:$2)*(MAX($2:$2)+1)/2))))+IF(CE$7&lt;=условия!$E$19,0,(-CE$3+MAX($3:$3))*($J26*(MAX($3:$3)/(MAX($2:$2)+MAX($3:$3)))/((MAX($3:$3)*(MAX($3:$3)+1)/2))))</f>
        <v>0</v>
      </c>
    </row>
    <row r="27" spans="3:83" s="3" customFormat="1">
      <c r="C27" s="3" t="str">
        <f>IF(условия!$E$9=1,условия!$C$9,IF(условия!$E$10=1,условия!$C$10,IF(условия!$E$11=1,условия!$C$11,"")))</f>
        <v>ОСНО</v>
      </c>
      <c r="E27" s="89" t="s">
        <v>24</v>
      </c>
      <c r="F27" s="89"/>
      <c r="G27" s="88"/>
      <c r="H27" s="89"/>
      <c r="I27" s="88" t="s">
        <v>17</v>
      </c>
      <c r="J27" s="90">
        <f>условия!$E$45*условия!$E$46*(условия!$E$47+условия!$E$48)/2</f>
        <v>157500000</v>
      </c>
      <c r="K27" s="94"/>
      <c r="L27" s="91">
        <f>IF(OR(L$7&lt;условия!$E$17,L$7&gt;условия!$E$19),0,(L$2)*($J27*(MAX($2:$2)/(MAX($2:$2)+MAX($3:$3)))/((MAX($2:$2)*(MAX($2:$2)+1)/2))))+IF(L$7&lt;=условия!$E$19,0,(-L$3+MAX($3:$3))*($J27*(MAX($3:$3)/(MAX($2:$2)+MAX($3:$3)))/((MAX($3:$3)*(MAX($3:$3)+1)/2))))</f>
        <v>0</v>
      </c>
      <c r="M27" s="91">
        <f>IF(OR(M$7&lt;условия!$E$17,M$7&gt;условия!$E$19),0,(M$2)*($J27*(MAX($2:$2)/(MAX($2:$2)+MAX($3:$3)))/((MAX($2:$2)*(MAX($2:$2)+1)/2))))+IF(M$7&lt;=условия!$E$19,0,(-M$3+MAX($3:$3))*($J27*(MAX($3:$3)/(MAX($2:$2)+MAX($3:$3)))/((MAX($3:$3)*(MAX($3:$3)+1)/2))))</f>
        <v>0</v>
      </c>
      <c r="N27" s="91">
        <f>IF(OR(N$7&lt;условия!$E$17,N$7&gt;условия!$E$19),0,(N$2)*($J27*(MAX($2:$2)/(MAX($2:$2)+MAX($3:$3)))/((MAX($2:$2)*(MAX($2:$2)+1)/2))))+IF(N$7&lt;=условия!$E$19,0,(-N$3+MAX($3:$3))*($J27*(MAX($3:$3)/(MAX($2:$2)+MAX($3:$3)))/((MAX($3:$3)*(MAX($3:$3)+1)/2))))</f>
        <v>0</v>
      </c>
      <c r="O27" s="91">
        <f>IF(OR(O$7&lt;условия!$E$17,O$7&gt;условия!$E$19),0,(O$2)*($J27*(MAX($2:$2)/(MAX($2:$2)+MAX($3:$3)))/((MAX($2:$2)*(MAX($2:$2)+1)/2))))+IF(O$7&lt;=условия!$E$19,0,(-O$3+MAX($3:$3))*($J27*(MAX($3:$3)/(MAX($2:$2)+MAX($3:$3)))/((MAX($3:$3)*(MAX($3:$3)+1)/2))))</f>
        <v>0</v>
      </c>
      <c r="P27" s="91">
        <f>IF(OR(P$7&lt;условия!$E$17,P$7&gt;условия!$E$19),0,(P$2)*($J27*(MAX($2:$2)/(MAX($2:$2)+MAX($3:$3)))/((MAX($2:$2)*(MAX($2:$2)+1)/2))))+IF(P$7&lt;=условия!$E$19,0,(-P$3+MAX($3:$3))*($J27*(MAX($3:$3)/(MAX($2:$2)+MAX($3:$3)))/((MAX($3:$3)*(MAX($3:$3)+1)/2))))</f>
        <v>0</v>
      </c>
      <c r="Q27" s="91">
        <f>IF(OR(Q$7&lt;условия!$E$17,Q$7&gt;условия!$E$19),0,(Q$2)*($J27*(MAX($2:$2)/(MAX($2:$2)+MAX($3:$3)))/((MAX($2:$2)*(MAX($2:$2)+1)/2))))+IF(Q$7&lt;=условия!$E$19,0,(-Q$3+MAX($3:$3))*($J27*(MAX($3:$3)/(MAX($2:$2)+MAX($3:$3)))/((MAX($3:$3)*(MAX($3:$3)+1)/2))))</f>
        <v>0</v>
      </c>
      <c r="R27" s="91">
        <f>IF(OR(R$7&lt;условия!$E$17,R$7&gt;условия!$E$19),0,(R$2)*($J27*(MAX($2:$2)/(MAX($2:$2)+MAX($3:$3)))/((MAX($2:$2)*(MAX($2:$2)+1)/2))))+IF(R$7&lt;=условия!$E$19,0,(-R$3+MAX($3:$3))*($J27*(MAX($3:$3)/(MAX($2:$2)+MAX($3:$3)))/((MAX($3:$3)*(MAX($3:$3)+1)/2))))</f>
        <v>0</v>
      </c>
      <c r="S27" s="91">
        <f>IF(OR(S$7&lt;условия!$E$17,S$7&gt;условия!$E$19),0,(S$2)*($J27*(MAX($2:$2)/(MAX($2:$2)+MAX($3:$3)))/((MAX($2:$2)*(MAX($2:$2)+1)/2))))+IF(S$7&lt;=условия!$E$19,0,(-S$3+MAX($3:$3))*($J27*(MAX($3:$3)/(MAX($2:$2)+MAX($3:$3)))/((MAX($3:$3)*(MAX($3:$3)+1)/2))))</f>
        <v>0</v>
      </c>
      <c r="T27" s="91">
        <f>IF(OR(T$7&lt;условия!$E$17,T$7&gt;условия!$E$19),0,(T$2)*($J27*(MAX($2:$2)/(MAX($2:$2)+MAX($3:$3)))/((MAX($2:$2)*(MAX($2:$2)+1)/2))))+IF(T$7&lt;=условия!$E$19,0,(-T$3+MAX($3:$3))*($J27*(MAX($3:$3)/(MAX($2:$2)+MAX($3:$3)))/((MAX($3:$3)*(MAX($3:$3)+1)/2))))</f>
        <v>0</v>
      </c>
      <c r="U27" s="91">
        <f>IF(OR(U$7&lt;условия!$E$17,U$7&gt;условия!$E$19),0,(U$2)*($J27*(MAX($2:$2)/(MAX($2:$2)+MAX($3:$3)))/((MAX($2:$2)*(MAX($2:$2)+1)/2))))+IF(U$7&lt;=условия!$E$19,0,(-U$3+MAX($3:$3))*($J27*(MAX($3:$3)/(MAX($2:$2)+MAX($3:$3)))/((MAX($3:$3)*(MAX($3:$3)+1)/2))))</f>
        <v>0</v>
      </c>
      <c r="V27" s="91">
        <f>IF(OR(V$7&lt;условия!$E$17,V$7&gt;условия!$E$19),0,(V$2)*($J27*(MAX($2:$2)/(MAX($2:$2)+MAX($3:$3)))/((MAX($2:$2)*(MAX($2:$2)+1)/2))))+IF(V$7&lt;=условия!$E$19,0,(-V$3+MAX($3:$3))*($J27*(MAX($3:$3)/(MAX($2:$2)+MAX($3:$3)))/((MAX($3:$3)*(MAX($3:$3)+1)/2))))</f>
        <v>0</v>
      </c>
      <c r="W27" s="91">
        <f>IF(OR(W$7&lt;условия!$E$17,W$7&gt;условия!$E$19),0,(W$2)*($J27*(MAX($2:$2)/(MAX($2:$2)+MAX($3:$3)))/((MAX($2:$2)*(MAX($2:$2)+1)/2))))+IF(W$7&lt;=условия!$E$19,0,(-W$3+MAX($3:$3))*($J27*(MAX($3:$3)/(MAX($2:$2)+MAX($3:$3)))/((MAX($3:$3)*(MAX($3:$3)+1)/2))))</f>
        <v>0</v>
      </c>
      <c r="X27" s="91">
        <f>IF(OR(X$7&lt;условия!$E$17,X$7&gt;условия!$E$19),0,(X$2)*($J27*(MAX($2:$2)/(MAX($2:$2)+MAX($3:$3)))/((MAX($2:$2)*(MAX($2:$2)+1)/2))))+IF(X$7&lt;=условия!$E$19,0,(-X$3+MAX($3:$3))*($J27*(MAX($3:$3)/(MAX($2:$2)+MAX($3:$3)))/((MAX($3:$3)*(MAX($3:$3)+1)/2))))</f>
        <v>0</v>
      </c>
      <c r="Y27" s="91">
        <f>IF(OR(Y$7&lt;условия!$E$17,Y$7&gt;условия!$E$19),0,(Y$2)*($J27*(MAX($2:$2)/(MAX($2:$2)+MAX($3:$3)))/((MAX($2:$2)*(MAX($2:$2)+1)/2))))+IF(Y$7&lt;=условия!$E$19,0,(-Y$3+MAX($3:$3))*($J27*(MAX($3:$3)/(MAX($2:$2)+MAX($3:$3)))/((MAX($3:$3)*(MAX($3:$3)+1)/2))))</f>
        <v>0</v>
      </c>
      <c r="Z27" s="91">
        <f>IF(OR(Z$7&lt;условия!$E$17,Z$7&gt;условия!$E$19),0,(Z$2)*($J27*(MAX($2:$2)/(MAX($2:$2)+MAX($3:$3)))/((MAX($2:$2)*(MAX($2:$2)+1)/2))))+IF(Z$7&lt;=условия!$E$19,0,(-Z$3+MAX($3:$3))*($J27*(MAX($3:$3)/(MAX($2:$2)+MAX($3:$3)))/((MAX($3:$3)*(MAX($3:$3)+1)/2))))</f>
        <v>0</v>
      </c>
      <c r="AA27" s="91">
        <f>IF(OR(AA$7&lt;условия!$E$17,AA$7&gt;условия!$E$19),0,(AA$2)*($J27*(MAX($2:$2)/(MAX($2:$2)+MAX($3:$3)))/((MAX($2:$2)*(MAX($2:$2)+1)/2))))+IF(AA$7&lt;=условия!$E$19,0,(-AA$3+MAX($3:$3))*($J27*(MAX($3:$3)/(MAX($2:$2)+MAX($3:$3)))/((MAX($3:$3)*(MAX($3:$3)+1)/2))))</f>
        <v>0</v>
      </c>
      <c r="AB27" s="91">
        <f>IF(OR(AB$7&lt;условия!$E$17,AB$7&gt;условия!$E$19),0,(AB$2)*($J27*(MAX($2:$2)/(MAX($2:$2)+MAX($3:$3)))/((MAX($2:$2)*(MAX($2:$2)+1)/2))))+IF(AB$7&lt;=условия!$E$19,0,(-AB$3+MAX($3:$3))*($J27*(MAX($3:$3)/(MAX($2:$2)+MAX($3:$3)))/((MAX($3:$3)*(MAX($3:$3)+1)/2))))</f>
        <v>0</v>
      </c>
      <c r="AC27" s="91">
        <f>IF(OR(AC$7&lt;условия!$E$17,AC$7&gt;условия!$E$19),0,(AC$2)*($J27*(MAX($2:$2)/(MAX($2:$2)+MAX($3:$3)))/((MAX($2:$2)*(MAX($2:$2)+1)/2))))+IF(AC$7&lt;=условия!$E$19,0,(-AC$3+MAX($3:$3))*($J27*(MAX($3:$3)/(MAX($2:$2)+MAX($3:$3)))/((MAX($3:$3)*(MAX($3:$3)+1)/2))))</f>
        <v>0</v>
      </c>
      <c r="AD27" s="91">
        <f>IF(OR(AD$7&lt;условия!$E$17,AD$7&gt;условия!$E$19),0,(AD$2)*($J27*(MAX($2:$2)/(MAX($2:$2)+MAX($3:$3)))/((MAX($2:$2)*(MAX($2:$2)+1)/2))))+IF(AD$7&lt;=условия!$E$19,0,(-AD$3+MAX($3:$3))*($J27*(MAX($3:$3)/(MAX($2:$2)+MAX($3:$3)))/((MAX($3:$3)*(MAX($3:$3)+1)/2))))</f>
        <v>0</v>
      </c>
      <c r="AE27" s="91">
        <f>IF(OR(AE$7&lt;условия!$E$17,AE$7&gt;условия!$E$19),0,(AE$2)*($J27*(MAX($2:$2)/(MAX($2:$2)+MAX($3:$3)))/((MAX($2:$2)*(MAX($2:$2)+1)/2))))+IF(AE$7&lt;=условия!$E$19,0,(-AE$3+MAX($3:$3))*($J27*(MAX($3:$3)/(MAX($2:$2)+MAX($3:$3)))/((MAX($3:$3)*(MAX($3:$3)+1)/2))))</f>
        <v>0</v>
      </c>
      <c r="AF27" s="91">
        <f>IF(OR(AF$7&lt;условия!$E$17,AF$7&gt;условия!$E$19),0,(AF$2)*($J27*(MAX($2:$2)/(MAX($2:$2)+MAX($3:$3)))/((MAX($2:$2)*(MAX($2:$2)+1)/2))))+IF(AF$7&lt;=условия!$E$19,0,(-AF$3+MAX($3:$3))*($J27*(MAX($3:$3)/(MAX($2:$2)+MAX($3:$3)))/((MAX($3:$3)*(MAX($3:$3)+1)/2))))</f>
        <v>0</v>
      </c>
      <c r="AG27" s="91">
        <f>IF(OR(AG$7&lt;условия!$E$17,AG$7&gt;условия!$E$19),0,(AG$2)*($J27*(MAX($2:$2)/(MAX($2:$2)+MAX($3:$3)))/((MAX($2:$2)*(MAX($2:$2)+1)/2))))+IF(AG$7&lt;=условия!$E$19,0,(-AG$3+MAX($3:$3))*($J27*(MAX($3:$3)/(MAX($2:$2)+MAX($3:$3)))/((MAX($3:$3)*(MAX($3:$3)+1)/2))))</f>
        <v>0</v>
      </c>
      <c r="AH27" s="91">
        <f>IF(OR(AH$7&lt;условия!$E$17,AH$7&gt;условия!$E$19),0,(AH$2)*($J27*(MAX($2:$2)/(MAX($2:$2)+MAX($3:$3)))/((MAX($2:$2)*(MAX($2:$2)+1)/2))))+IF(AH$7&lt;=условия!$E$19,0,(-AH$3+MAX($3:$3))*($J27*(MAX($3:$3)/(MAX($2:$2)+MAX($3:$3)))/((MAX($3:$3)*(MAX($3:$3)+1)/2))))</f>
        <v>0</v>
      </c>
      <c r="AI27" s="91">
        <f>IF(OR(AI$7&lt;условия!$E$17,AI$7&gt;условия!$E$19),0,(AI$2)*($J27*(MAX($2:$2)/(MAX($2:$2)+MAX($3:$3)))/((MAX($2:$2)*(MAX($2:$2)+1)/2))))+IF(AI$7&lt;=условия!$E$19,0,(-AI$3+MAX($3:$3))*($J27*(MAX($3:$3)/(MAX($2:$2)+MAX($3:$3)))/((MAX($3:$3)*(MAX($3:$3)+1)/2))))</f>
        <v>0</v>
      </c>
      <c r="AJ27" s="91">
        <f>IF(OR(AJ$7&lt;условия!$E$17,AJ$7&gt;условия!$E$19),0,(AJ$2)*($J27*(MAX($2:$2)/(MAX($2:$2)+MAX($3:$3)))/((MAX($2:$2)*(MAX($2:$2)+1)/2))))+IF(AJ$7&lt;=условия!$E$19,0,(-AJ$3+MAX($3:$3))*($J27*(MAX($3:$3)/(MAX($2:$2)+MAX($3:$3)))/((MAX($3:$3)*(MAX($3:$3)+1)/2))))</f>
        <v>0</v>
      </c>
      <c r="AK27" s="91">
        <f>IF(OR(AK$7&lt;условия!$E$17,AK$7&gt;условия!$E$19),0,(AK$2)*($J27*(MAX($2:$2)/(MAX($2:$2)+MAX($3:$3)))/((MAX($2:$2)*(MAX($2:$2)+1)/2))))+IF(AK$7&lt;=условия!$E$19,0,(-AK$3+MAX($3:$3))*($J27*(MAX($3:$3)/(MAX($2:$2)+MAX($3:$3)))/((MAX($3:$3)*(MAX($3:$3)+1)/2))))</f>
        <v>311264.82213438733</v>
      </c>
      <c r="AL27" s="91">
        <f>IF(OR(AL$7&lt;условия!$E$17,AL$7&gt;условия!$E$19),0,(AL$2)*($J27*(MAX($2:$2)/(MAX($2:$2)+MAX($3:$3)))/((MAX($2:$2)*(MAX($2:$2)+1)/2))))+IF(AL$7&lt;=условия!$E$19,0,(-AL$3+MAX($3:$3))*($J27*(MAX($3:$3)/(MAX($2:$2)+MAX($3:$3)))/((MAX($3:$3)*(MAX($3:$3)+1)/2))))</f>
        <v>622529.64426877466</v>
      </c>
      <c r="AM27" s="91">
        <f>IF(OR(AM$7&lt;условия!$E$17,AM$7&gt;условия!$E$19),0,(AM$2)*($J27*(MAX($2:$2)/(MAX($2:$2)+MAX($3:$3)))/((MAX($2:$2)*(MAX($2:$2)+1)/2))))+IF(AM$7&lt;=условия!$E$19,0,(-AM$3+MAX($3:$3))*($J27*(MAX($3:$3)/(MAX($2:$2)+MAX($3:$3)))/((MAX($3:$3)*(MAX($3:$3)+1)/2))))</f>
        <v>933794.46640316199</v>
      </c>
      <c r="AN27" s="91">
        <f>IF(OR(AN$7&lt;условия!$E$17,AN$7&gt;условия!$E$19),0,(AN$2)*($J27*(MAX($2:$2)/(MAX($2:$2)+MAX($3:$3)))/((MAX($2:$2)*(MAX($2:$2)+1)/2))))+IF(AN$7&lt;=условия!$E$19,0,(-AN$3+MAX($3:$3))*($J27*(MAX($3:$3)/(MAX($2:$2)+MAX($3:$3)))/((MAX($3:$3)*(MAX($3:$3)+1)/2))))</f>
        <v>1245059.2885375493</v>
      </c>
      <c r="AO27" s="91">
        <f>IF(OR(AO$7&lt;условия!$E$17,AO$7&gt;условия!$E$19),0,(AO$2)*($J27*(MAX($2:$2)/(MAX($2:$2)+MAX($3:$3)))/((MAX($2:$2)*(MAX($2:$2)+1)/2))))+IF(AO$7&lt;=условия!$E$19,0,(-AO$3+MAX($3:$3))*($J27*(MAX($3:$3)/(MAX($2:$2)+MAX($3:$3)))/((MAX($3:$3)*(MAX($3:$3)+1)/2))))</f>
        <v>1556324.1106719365</v>
      </c>
      <c r="AP27" s="91">
        <f>IF(OR(AP$7&lt;условия!$E$17,AP$7&gt;условия!$E$19),0,(AP$2)*($J27*(MAX($2:$2)/(MAX($2:$2)+MAX($3:$3)))/((MAX($2:$2)*(MAX($2:$2)+1)/2))))+IF(AP$7&lt;=условия!$E$19,0,(-AP$3+MAX($3:$3))*($J27*(MAX($3:$3)/(MAX($2:$2)+MAX($3:$3)))/((MAX($3:$3)*(MAX($3:$3)+1)/2))))</f>
        <v>1867588.932806324</v>
      </c>
      <c r="AQ27" s="91">
        <f>IF(OR(AQ$7&lt;условия!$E$17,AQ$7&gt;условия!$E$19),0,(AQ$2)*($J27*(MAX($2:$2)/(MAX($2:$2)+MAX($3:$3)))/((MAX($2:$2)*(MAX($2:$2)+1)/2))))+IF(AQ$7&lt;=условия!$E$19,0,(-AQ$3+MAX($3:$3))*($J27*(MAX($3:$3)/(MAX($2:$2)+MAX($3:$3)))/((MAX($3:$3)*(MAX($3:$3)+1)/2))))</f>
        <v>2178853.7549407114</v>
      </c>
      <c r="AR27" s="91">
        <f>IF(OR(AR$7&lt;условия!$E$17,AR$7&gt;условия!$E$19),0,(AR$2)*($J27*(MAX($2:$2)/(MAX($2:$2)+MAX($3:$3)))/((MAX($2:$2)*(MAX($2:$2)+1)/2))))+IF(AR$7&lt;=условия!$E$19,0,(-AR$3+MAX($3:$3))*($J27*(MAX($3:$3)/(MAX($2:$2)+MAX($3:$3)))/((MAX($3:$3)*(MAX($3:$3)+1)/2))))</f>
        <v>2490118.5770750986</v>
      </c>
      <c r="AS27" s="91">
        <f>IF(OR(AS$7&lt;условия!$E$17,AS$7&gt;условия!$E$19),0,(AS$2)*($J27*(MAX($2:$2)/(MAX($2:$2)+MAX($3:$3)))/((MAX($2:$2)*(MAX($2:$2)+1)/2))))+IF(AS$7&lt;=условия!$E$19,0,(-AS$3+MAX($3:$3))*($J27*(MAX($3:$3)/(MAX($2:$2)+MAX($3:$3)))/((MAX($3:$3)*(MAX($3:$3)+1)/2))))</f>
        <v>2801383.3992094859</v>
      </c>
      <c r="AT27" s="91">
        <f>IF(OR(AT$7&lt;условия!$E$17,AT$7&gt;условия!$E$19),0,(AT$2)*($J27*(MAX($2:$2)/(MAX($2:$2)+MAX($3:$3)))/((MAX($2:$2)*(MAX($2:$2)+1)/2))))+IF(AT$7&lt;=условия!$E$19,0,(-AT$3+MAX($3:$3))*($J27*(MAX($3:$3)/(MAX($2:$2)+MAX($3:$3)))/((MAX($3:$3)*(MAX($3:$3)+1)/2))))</f>
        <v>3112648.2213438731</v>
      </c>
      <c r="AU27" s="91">
        <f>IF(OR(AU$7&lt;условия!$E$17,AU$7&gt;условия!$E$19),0,(AU$2)*($J27*(MAX($2:$2)/(MAX($2:$2)+MAX($3:$3)))/((MAX($2:$2)*(MAX($2:$2)+1)/2))))+IF(AU$7&lt;=условия!$E$19,0,(-AU$3+MAX($3:$3))*($J27*(MAX($3:$3)/(MAX($2:$2)+MAX($3:$3)))/((MAX($3:$3)*(MAX($3:$3)+1)/2))))</f>
        <v>3423913.0434782607</v>
      </c>
      <c r="AV27" s="91">
        <f>IF(OR(AV$7&lt;условия!$E$17,AV$7&gt;условия!$E$19),0,(AV$2)*($J27*(MAX($2:$2)/(MAX($2:$2)+MAX($3:$3)))/((MAX($2:$2)*(MAX($2:$2)+1)/2))))+IF(AV$7&lt;=условия!$E$19,0,(-AV$3+MAX($3:$3))*($J27*(MAX($3:$3)/(MAX($2:$2)+MAX($3:$3)))/((MAX($3:$3)*(MAX($3:$3)+1)/2))))</f>
        <v>3735177.865612648</v>
      </c>
      <c r="AW27" s="91">
        <f>IF(OR(AW$7&lt;условия!$E$17,AW$7&gt;условия!$E$19),0,(AW$2)*($J27*(MAX($2:$2)/(MAX($2:$2)+MAX($3:$3)))/((MAX($2:$2)*(MAX($2:$2)+1)/2))))+IF(AW$7&lt;=условия!$E$19,0,(-AW$3+MAX($3:$3))*($J27*(MAX($3:$3)/(MAX($2:$2)+MAX($3:$3)))/((MAX($3:$3)*(MAX($3:$3)+1)/2))))</f>
        <v>4046442.6877470352</v>
      </c>
      <c r="AX27" s="91">
        <f>IF(OR(AX$7&lt;условия!$E$17,AX$7&gt;условия!$E$19),0,(AX$2)*($J27*(MAX($2:$2)/(MAX($2:$2)+MAX($3:$3)))/((MAX($2:$2)*(MAX($2:$2)+1)/2))))+IF(AX$7&lt;=условия!$E$19,0,(-AX$3+MAX($3:$3))*($J27*(MAX($3:$3)/(MAX($2:$2)+MAX($3:$3)))/((MAX($3:$3)*(MAX($3:$3)+1)/2))))</f>
        <v>4357707.5098814229</v>
      </c>
      <c r="AY27" s="91">
        <f>IF(OR(AY$7&lt;условия!$E$17,AY$7&gt;условия!$E$19),0,(AY$2)*($J27*(MAX($2:$2)/(MAX($2:$2)+MAX($3:$3)))/((MAX($2:$2)*(MAX($2:$2)+1)/2))))+IF(AY$7&lt;=условия!$E$19,0,(-AY$3+MAX($3:$3))*($J27*(MAX($3:$3)/(MAX($2:$2)+MAX($3:$3)))/((MAX($3:$3)*(MAX($3:$3)+1)/2))))</f>
        <v>4668972.3320158096</v>
      </c>
      <c r="AZ27" s="91">
        <f>IF(OR(AZ$7&lt;условия!$E$17,AZ$7&gt;условия!$E$19),0,(AZ$2)*($J27*(MAX($2:$2)/(MAX($2:$2)+MAX($3:$3)))/((MAX($2:$2)*(MAX($2:$2)+1)/2))))+IF(AZ$7&lt;=условия!$E$19,0,(-AZ$3+MAX($3:$3))*($J27*(MAX($3:$3)/(MAX($2:$2)+MAX($3:$3)))/((MAX($3:$3)*(MAX($3:$3)+1)/2))))</f>
        <v>4980237.1541501973</v>
      </c>
      <c r="BA27" s="91">
        <f>IF(OR(BA$7&lt;условия!$E$17,BA$7&gt;условия!$E$19),0,(BA$2)*($J27*(MAX($2:$2)/(MAX($2:$2)+MAX($3:$3)))/((MAX($2:$2)*(MAX($2:$2)+1)/2))))+IF(BA$7&lt;=условия!$E$19,0,(-BA$3+MAX($3:$3))*($J27*(MAX($3:$3)/(MAX($2:$2)+MAX($3:$3)))/((MAX($3:$3)*(MAX($3:$3)+1)/2))))</f>
        <v>5291501.976284585</v>
      </c>
      <c r="BB27" s="91">
        <f>IF(OR(BB$7&lt;условия!$E$17,BB$7&gt;условия!$E$19),0,(BB$2)*($J27*(MAX($2:$2)/(MAX($2:$2)+MAX($3:$3)))/((MAX($2:$2)*(MAX($2:$2)+1)/2))))+IF(BB$7&lt;=условия!$E$19,0,(-BB$3+MAX($3:$3))*($J27*(MAX($3:$3)/(MAX($2:$2)+MAX($3:$3)))/((MAX($3:$3)*(MAX($3:$3)+1)/2))))</f>
        <v>5602766.7984189717</v>
      </c>
      <c r="BC27" s="91">
        <f>IF(OR(BC$7&lt;условия!$E$17,BC$7&gt;условия!$E$19),0,(BC$2)*($J27*(MAX($2:$2)/(MAX($2:$2)+MAX($3:$3)))/((MAX($2:$2)*(MAX($2:$2)+1)/2))))+IF(BC$7&lt;=условия!$E$19,0,(-BC$3+MAX($3:$3))*($J27*(MAX($3:$3)/(MAX($2:$2)+MAX($3:$3)))/((MAX($3:$3)*(MAX($3:$3)+1)/2))))</f>
        <v>5914031.6205533594</v>
      </c>
      <c r="BD27" s="91">
        <f>IF(OR(BD$7&lt;условия!$E$17,BD$7&gt;условия!$E$19),0,(BD$2)*($J27*(MAX($2:$2)/(MAX($2:$2)+MAX($3:$3)))/((MAX($2:$2)*(MAX($2:$2)+1)/2))))+IF(BD$7&lt;=условия!$E$19,0,(-BD$3+MAX($3:$3))*($J27*(MAX($3:$3)/(MAX($2:$2)+MAX($3:$3)))/((MAX($3:$3)*(MAX($3:$3)+1)/2))))</f>
        <v>6225296.4426877461</v>
      </c>
      <c r="BE27" s="91">
        <f>IF(OR(BE$7&lt;условия!$E$17,BE$7&gt;условия!$E$19),0,(BE$2)*($J27*(MAX($2:$2)/(MAX($2:$2)+MAX($3:$3)))/((MAX($2:$2)*(MAX($2:$2)+1)/2))))+IF(BE$7&lt;=условия!$E$19,0,(-BE$3+MAX($3:$3))*($J27*(MAX($3:$3)/(MAX($2:$2)+MAX($3:$3)))/((MAX($3:$3)*(MAX($3:$3)+1)/2))))</f>
        <v>6536561.2648221338</v>
      </c>
      <c r="BF27" s="91">
        <f>IF(OR(BF$7&lt;условия!$E$17,BF$7&gt;условия!$E$19),0,(BF$2)*($J27*(MAX($2:$2)/(MAX($2:$2)+MAX($3:$3)))/((MAX($2:$2)*(MAX($2:$2)+1)/2))))+IF(BF$7&lt;=условия!$E$19,0,(-BF$3+MAX($3:$3))*($J27*(MAX($3:$3)/(MAX($2:$2)+MAX($3:$3)))/((MAX($3:$3)*(MAX($3:$3)+1)/2))))</f>
        <v>6584448.1605351157</v>
      </c>
      <c r="BG27" s="91">
        <f>IF(OR(BG$7&lt;условия!$E$17,BG$7&gt;условия!$E$19),0,(BG$2)*($J27*(MAX($2:$2)/(MAX($2:$2)+MAX($3:$3)))/((MAX($2:$2)*(MAX($2:$2)+1)/2))))+IF(BG$7&lt;=условия!$E$19,0,(-BG$3+MAX($3:$3))*($J27*(MAX($3:$3)/(MAX($2:$2)+MAX($3:$3)))/((MAX($3:$3)*(MAX($3:$3)+1)/2))))</f>
        <v>6321070.2341137119</v>
      </c>
      <c r="BH27" s="91">
        <f>IF(OR(BH$7&lt;условия!$E$17,BH$7&gt;условия!$E$19),0,(BH$2)*($J27*(MAX($2:$2)/(MAX($2:$2)+MAX($3:$3)))/((MAX($2:$2)*(MAX($2:$2)+1)/2))))+IF(BH$7&lt;=условия!$E$19,0,(-BH$3+MAX($3:$3))*($J27*(MAX($3:$3)/(MAX($2:$2)+MAX($3:$3)))/((MAX($3:$3)*(MAX($3:$3)+1)/2))))</f>
        <v>6057692.307692307</v>
      </c>
      <c r="BI27" s="91">
        <f>IF(OR(BI$7&lt;условия!$E$17,BI$7&gt;условия!$E$19),0,(BI$2)*($J27*(MAX($2:$2)/(MAX($2:$2)+MAX($3:$3)))/((MAX($2:$2)*(MAX($2:$2)+1)/2))))+IF(BI$7&lt;=условия!$E$19,0,(-BI$3+MAX($3:$3))*($J27*(MAX($3:$3)/(MAX($2:$2)+MAX($3:$3)))/((MAX($3:$3)*(MAX($3:$3)+1)/2))))</f>
        <v>5794314.3812709022</v>
      </c>
      <c r="BJ27" s="91">
        <f>IF(OR(BJ$7&lt;условия!$E$17,BJ$7&gt;условия!$E$19),0,(BJ$2)*($J27*(MAX($2:$2)/(MAX($2:$2)+MAX($3:$3)))/((MAX($2:$2)*(MAX($2:$2)+1)/2))))+IF(BJ$7&lt;=условия!$E$19,0,(-BJ$3+MAX($3:$3))*($J27*(MAX($3:$3)/(MAX($2:$2)+MAX($3:$3)))/((MAX($3:$3)*(MAX($3:$3)+1)/2))))</f>
        <v>5530936.4548494974</v>
      </c>
      <c r="BK27" s="91">
        <f>IF(OR(BK$7&lt;условия!$E$17,BK$7&gt;условия!$E$19),0,(BK$2)*($J27*(MAX($2:$2)/(MAX($2:$2)+MAX($3:$3)))/((MAX($2:$2)*(MAX($2:$2)+1)/2))))+IF(BK$7&lt;=условия!$E$19,0,(-BK$3+MAX($3:$3))*($J27*(MAX($3:$3)/(MAX($2:$2)+MAX($3:$3)))/((MAX($3:$3)*(MAX($3:$3)+1)/2))))</f>
        <v>5267558.5284280926</v>
      </c>
      <c r="BL27" s="91">
        <f>IF(OR(BL$7&lt;условия!$E$17,BL$7&gt;условия!$E$19),0,(BL$2)*($J27*(MAX($2:$2)/(MAX($2:$2)+MAX($3:$3)))/((MAX($2:$2)*(MAX($2:$2)+1)/2))))+IF(BL$7&lt;=условия!$E$19,0,(-BL$3+MAX($3:$3))*($J27*(MAX($3:$3)/(MAX($2:$2)+MAX($3:$3)))/((MAX($3:$3)*(MAX($3:$3)+1)/2))))</f>
        <v>5004180.6020066878</v>
      </c>
      <c r="BM27" s="91">
        <f>IF(OR(BM$7&lt;условия!$E$17,BM$7&gt;условия!$E$19),0,(BM$2)*($J27*(MAX($2:$2)/(MAX($2:$2)+MAX($3:$3)))/((MAX($2:$2)*(MAX($2:$2)+1)/2))))+IF(BM$7&lt;=условия!$E$19,0,(-BM$3+MAX($3:$3))*($J27*(MAX($3:$3)/(MAX($2:$2)+MAX($3:$3)))/((MAX($3:$3)*(MAX($3:$3)+1)/2))))</f>
        <v>4740802.6755852839</v>
      </c>
      <c r="BN27" s="91">
        <f>IF(OR(BN$7&lt;условия!$E$17,BN$7&gt;условия!$E$19),0,(BN$2)*($J27*(MAX($2:$2)/(MAX($2:$2)+MAX($3:$3)))/((MAX($2:$2)*(MAX($2:$2)+1)/2))))+IF(BN$7&lt;=условия!$E$19,0,(-BN$3+MAX($3:$3))*($J27*(MAX($3:$3)/(MAX($2:$2)+MAX($3:$3)))/((MAX($3:$3)*(MAX($3:$3)+1)/2))))</f>
        <v>4477424.7491638791</v>
      </c>
      <c r="BO27" s="91">
        <f>IF(OR(BO$7&lt;условия!$E$17,BO$7&gt;условия!$E$19),0,(BO$2)*($J27*(MAX($2:$2)/(MAX($2:$2)+MAX($3:$3)))/((MAX($2:$2)*(MAX($2:$2)+1)/2))))+IF(BO$7&lt;=условия!$E$19,0,(-BO$3+MAX($3:$3))*($J27*(MAX($3:$3)/(MAX($2:$2)+MAX($3:$3)))/((MAX($3:$3)*(MAX($3:$3)+1)/2))))</f>
        <v>4214046.8227424743</v>
      </c>
      <c r="BP27" s="91">
        <f>IF(OR(BP$7&lt;условия!$E$17,BP$7&gt;условия!$E$19),0,(BP$2)*($J27*(MAX($2:$2)/(MAX($2:$2)+MAX($3:$3)))/((MAX($2:$2)*(MAX($2:$2)+1)/2))))+IF(BP$7&lt;=условия!$E$19,0,(-BP$3+MAX($3:$3))*($J27*(MAX($3:$3)/(MAX($2:$2)+MAX($3:$3)))/((MAX($3:$3)*(MAX($3:$3)+1)/2))))</f>
        <v>3950668.8963210694</v>
      </c>
      <c r="BQ27" s="91">
        <f>IF(OR(BQ$7&lt;условия!$E$17,BQ$7&gt;условия!$E$19),0,(BQ$2)*($J27*(MAX($2:$2)/(MAX($2:$2)+MAX($3:$3)))/((MAX($2:$2)*(MAX($2:$2)+1)/2))))+IF(BQ$7&lt;=условия!$E$19,0,(-BQ$3+MAX($3:$3))*($J27*(MAX($3:$3)/(MAX($2:$2)+MAX($3:$3)))/((MAX($3:$3)*(MAX($3:$3)+1)/2))))</f>
        <v>3687290.9698996651</v>
      </c>
      <c r="BR27" s="91">
        <f>IF(OR(BR$7&lt;условия!$E$17,BR$7&gt;условия!$E$19),0,(BR$2)*($J27*(MAX($2:$2)/(MAX($2:$2)+MAX($3:$3)))/((MAX($2:$2)*(MAX($2:$2)+1)/2))))+IF(BR$7&lt;=условия!$E$19,0,(-BR$3+MAX($3:$3))*($J27*(MAX($3:$3)/(MAX($2:$2)+MAX($3:$3)))/((MAX($3:$3)*(MAX($3:$3)+1)/2))))</f>
        <v>3423913.0434782603</v>
      </c>
      <c r="BS27" s="91">
        <f>IF(OR(BS$7&lt;условия!$E$17,BS$7&gt;условия!$E$19),0,(BS$2)*($J27*(MAX($2:$2)/(MAX($2:$2)+MAX($3:$3)))/((MAX($2:$2)*(MAX($2:$2)+1)/2))))+IF(BS$7&lt;=условия!$E$19,0,(-BS$3+MAX($3:$3))*($J27*(MAX($3:$3)/(MAX($2:$2)+MAX($3:$3)))/((MAX($3:$3)*(MAX($3:$3)+1)/2))))</f>
        <v>3160535.1170568559</v>
      </c>
      <c r="BT27" s="91">
        <f>IF(OR(BT$7&lt;условия!$E$17,BT$7&gt;условия!$E$19),0,(BT$2)*($J27*(MAX($2:$2)/(MAX($2:$2)+MAX($3:$3)))/((MAX($2:$2)*(MAX($2:$2)+1)/2))))+IF(BT$7&lt;=условия!$E$19,0,(-BT$3+MAX($3:$3))*($J27*(MAX($3:$3)/(MAX($2:$2)+MAX($3:$3)))/((MAX($3:$3)*(MAX($3:$3)+1)/2))))</f>
        <v>2897157.1906354511</v>
      </c>
      <c r="BU27" s="91">
        <f>IF(OR(BU$7&lt;условия!$E$17,BU$7&gt;условия!$E$19),0,(BU$2)*($J27*(MAX($2:$2)/(MAX($2:$2)+MAX($3:$3)))/((MAX($2:$2)*(MAX($2:$2)+1)/2))))+IF(BU$7&lt;=условия!$E$19,0,(-BU$3+MAX($3:$3))*($J27*(MAX($3:$3)/(MAX($2:$2)+MAX($3:$3)))/((MAX($3:$3)*(MAX($3:$3)+1)/2))))</f>
        <v>2633779.2642140463</v>
      </c>
      <c r="BV27" s="91">
        <f>IF(OR(BV$7&lt;условия!$E$17,BV$7&gt;условия!$E$19),0,(BV$2)*($J27*(MAX($2:$2)/(MAX($2:$2)+MAX($3:$3)))/((MAX($2:$2)*(MAX($2:$2)+1)/2))))+IF(BV$7&lt;=условия!$E$19,0,(-BV$3+MAX($3:$3))*($J27*(MAX($3:$3)/(MAX($2:$2)+MAX($3:$3)))/((MAX($3:$3)*(MAX($3:$3)+1)/2))))</f>
        <v>2370401.3377926419</v>
      </c>
      <c r="BW27" s="91">
        <f>IF(OR(BW$7&lt;условия!$E$17,BW$7&gt;условия!$E$19),0,(BW$2)*($J27*(MAX($2:$2)/(MAX($2:$2)+MAX($3:$3)))/((MAX($2:$2)*(MAX($2:$2)+1)/2))))+IF(BW$7&lt;=условия!$E$19,0,(-BW$3+MAX($3:$3))*($J27*(MAX($3:$3)/(MAX($2:$2)+MAX($3:$3)))/((MAX($3:$3)*(MAX($3:$3)+1)/2))))</f>
        <v>2107023.4113712371</v>
      </c>
      <c r="BX27" s="91">
        <f>IF(OR(BX$7&lt;условия!$E$17,BX$7&gt;условия!$E$19),0,(BX$2)*($J27*(MAX($2:$2)/(MAX($2:$2)+MAX($3:$3)))/((MAX($2:$2)*(MAX($2:$2)+1)/2))))+IF(BX$7&lt;=условия!$E$19,0,(-BX$3+MAX($3:$3))*($J27*(MAX($3:$3)/(MAX($2:$2)+MAX($3:$3)))/((MAX($3:$3)*(MAX($3:$3)+1)/2))))</f>
        <v>1843645.4849498325</v>
      </c>
      <c r="BY27" s="91">
        <f>IF(OR(BY$7&lt;условия!$E$17,BY$7&gt;условия!$E$19),0,(BY$2)*($J27*(MAX($2:$2)/(MAX($2:$2)+MAX($3:$3)))/((MAX($2:$2)*(MAX($2:$2)+1)/2))))+IF(BY$7&lt;=условия!$E$19,0,(-BY$3+MAX($3:$3))*($J27*(MAX($3:$3)/(MAX($2:$2)+MAX($3:$3)))/((MAX($3:$3)*(MAX($3:$3)+1)/2))))</f>
        <v>1580267.558528428</v>
      </c>
      <c r="BZ27" s="91">
        <f>IF(OR(BZ$7&lt;условия!$E$17,BZ$7&gt;условия!$E$19),0,(BZ$2)*($J27*(MAX($2:$2)/(MAX($2:$2)+MAX($3:$3)))/((MAX($2:$2)*(MAX($2:$2)+1)/2))))+IF(BZ$7&lt;=условия!$E$19,0,(-BZ$3+MAX($3:$3))*($J27*(MAX($3:$3)/(MAX($2:$2)+MAX($3:$3)))/((MAX($3:$3)*(MAX($3:$3)+1)/2))))</f>
        <v>1316889.6321070231</v>
      </c>
      <c r="CA27" s="91">
        <f>IF(OR(CA$7&lt;условия!$E$17,CA$7&gt;условия!$E$19),0,(CA$2)*($J27*(MAX($2:$2)/(MAX($2:$2)+MAX($3:$3)))/((MAX($2:$2)*(MAX($2:$2)+1)/2))))+IF(CA$7&lt;=условия!$E$19,0,(-CA$3+MAX($3:$3))*($J27*(MAX($3:$3)/(MAX($2:$2)+MAX($3:$3)))/((MAX($3:$3)*(MAX($3:$3)+1)/2))))</f>
        <v>1053511.7056856186</v>
      </c>
      <c r="CB27" s="91">
        <f>IF(OR(CB$7&lt;условия!$E$17,CB$7&gt;условия!$E$19),0,(CB$2)*($J27*(MAX($2:$2)/(MAX($2:$2)+MAX($3:$3)))/((MAX($2:$2)*(MAX($2:$2)+1)/2))))+IF(CB$7&lt;=условия!$E$19,0,(-CB$3+MAX($3:$3))*($J27*(MAX($3:$3)/(MAX($2:$2)+MAX($3:$3)))/((MAX($3:$3)*(MAX($3:$3)+1)/2))))</f>
        <v>790133.77926421398</v>
      </c>
      <c r="CC27" s="91">
        <f>IF(OR(CC$7&lt;условия!$E$17,CC$7&gt;условия!$E$19),0,(CC$2)*($J27*(MAX($2:$2)/(MAX($2:$2)+MAX($3:$3)))/((MAX($2:$2)*(MAX($2:$2)+1)/2))))+IF(CC$7&lt;=условия!$E$19,0,(-CC$3+MAX($3:$3))*($J27*(MAX($3:$3)/(MAX($2:$2)+MAX($3:$3)))/((MAX($3:$3)*(MAX($3:$3)+1)/2))))</f>
        <v>526755.85284280928</v>
      </c>
      <c r="CD27" s="91">
        <f>IF(OR(CD$7&lt;условия!$E$17,CD$7&gt;условия!$E$19),0,(CD$2)*($J27*(MAX($2:$2)/(MAX($2:$2)+MAX($3:$3)))/((MAX($2:$2)*(MAX($2:$2)+1)/2))))+IF(CD$7&lt;=условия!$E$19,0,(-CD$3+MAX($3:$3))*($J27*(MAX($3:$3)/(MAX($2:$2)+MAX($3:$3)))/((MAX($3:$3)*(MAX($3:$3)+1)/2))))</f>
        <v>263377.92642140464</v>
      </c>
      <c r="CE27" s="91">
        <f>IF(OR(CE$7&lt;условия!$E$17,CE$7&gt;условия!$E$19),0,(CE$2)*($J27*(MAX($2:$2)/(MAX($2:$2)+MAX($3:$3)))/((MAX($2:$2)*(MAX($2:$2)+1)/2))))+IF(CE$7&lt;=условия!$E$19,0,(-CE$3+MAX($3:$3))*($J27*(MAX($3:$3)/(MAX($2:$2)+MAX($3:$3)))/((MAX($3:$3)*(MAX($3:$3)+1)/2))))</f>
        <v>0</v>
      </c>
    </row>
    <row r="28" spans="3:83" s="3" customFormat="1">
      <c r="C28" s="3" t="str">
        <f>IF(условия!$E$9=1,условия!$C$9,IF(условия!$E$10=1,условия!$C$10,IF(условия!$E$11=1,условия!$C$11,"")))</f>
        <v>ОСНО</v>
      </c>
      <c r="E28" s="89" t="s">
        <v>25</v>
      </c>
      <c r="F28" s="89"/>
      <c r="G28" s="88"/>
      <c r="H28" s="89"/>
      <c r="I28" s="88" t="s">
        <v>17</v>
      </c>
      <c r="J28" s="90">
        <f>SUM($K28:$CF28)</f>
        <v>17820000.000000004</v>
      </c>
      <c r="K28" s="94"/>
      <c r="L28" s="91">
        <f>IF(L$7&lt;=условия!$E$18,0,условия!$E$45*условия!$E$49*условия!$E$50)</f>
        <v>0</v>
      </c>
      <c r="M28" s="91">
        <f>IF(M$7&lt;=условия!$E$18,0,условия!$E$45*условия!$E$49*условия!$E$50)</f>
        <v>0</v>
      </c>
      <c r="N28" s="91">
        <f>IF(N$7&lt;=условия!$E$18,0,условия!$E$45*условия!$E$49*условия!$E$50)</f>
        <v>0</v>
      </c>
      <c r="O28" s="91">
        <f>IF(O$7&lt;=условия!$E$18,0,условия!$E$45*условия!$E$49*условия!$E$50)</f>
        <v>0</v>
      </c>
      <c r="P28" s="91">
        <f>IF(P$7&lt;=условия!$E$18,0,условия!$E$45*условия!$E$49*условия!$E$50)</f>
        <v>0</v>
      </c>
      <c r="Q28" s="91">
        <f>IF(Q$7&lt;=условия!$E$18,0,условия!$E$45*условия!$E$49*условия!$E$50)</f>
        <v>0</v>
      </c>
      <c r="R28" s="91">
        <f>IF(R$7&lt;=условия!$E$18,0,условия!$E$45*условия!$E$49*условия!$E$50)</f>
        <v>0</v>
      </c>
      <c r="S28" s="91">
        <f>IF(S$7&lt;=условия!$E$18,0,условия!$E$45*условия!$E$49*условия!$E$50)</f>
        <v>0</v>
      </c>
      <c r="T28" s="91">
        <f>IF(T$7&lt;=условия!$E$18,0,условия!$E$45*условия!$E$49*условия!$E$50)</f>
        <v>0</v>
      </c>
      <c r="U28" s="91">
        <f>IF(U$7&lt;=условия!$E$18,0,условия!$E$45*условия!$E$49*условия!$E$50)</f>
        <v>0</v>
      </c>
      <c r="V28" s="91">
        <f>IF(V$7&lt;=условия!$E$18,0,условия!$E$45*условия!$E$49*условия!$E$50)</f>
        <v>0</v>
      </c>
      <c r="W28" s="91">
        <f>IF(W$7&lt;=условия!$E$18,0,условия!$E$45*условия!$E$49*условия!$E$50)</f>
        <v>0</v>
      </c>
      <c r="X28" s="91">
        <f>IF(X$7&lt;=условия!$E$18,0,условия!$E$45*условия!$E$49*условия!$E$50)</f>
        <v>0</v>
      </c>
      <c r="Y28" s="91">
        <f>IF(Y$7&lt;=условия!$E$18,0,условия!$E$45*условия!$E$49*условия!$E$50)</f>
        <v>0</v>
      </c>
      <c r="Z28" s="91">
        <f>IF(Z$7&lt;=условия!$E$18,0,условия!$E$45*условия!$E$49*условия!$E$50)</f>
        <v>0</v>
      </c>
      <c r="AA28" s="91">
        <f>IF(AA$7&lt;=условия!$E$18,0,условия!$E$45*условия!$E$49*условия!$E$50)</f>
        <v>0</v>
      </c>
      <c r="AB28" s="91">
        <f>IF(AB$7&lt;=условия!$E$18,0,условия!$E$45*условия!$E$49*условия!$E$50)</f>
        <v>0</v>
      </c>
      <c r="AC28" s="91">
        <f>IF(AC$7&lt;=условия!$E$18,0,условия!$E$45*условия!$E$49*условия!$E$50)</f>
        <v>0</v>
      </c>
      <c r="AD28" s="91">
        <f>IF(AD$7&lt;=условия!$E$18,0,условия!$E$45*условия!$E$49*условия!$E$50)</f>
        <v>0</v>
      </c>
      <c r="AE28" s="91">
        <f>IF(AE$7&lt;=условия!$E$18,0,условия!$E$45*условия!$E$49*условия!$E$50)</f>
        <v>0</v>
      </c>
      <c r="AF28" s="91">
        <f>IF(AF$7&lt;=условия!$E$18,0,условия!$E$45*условия!$E$49*условия!$E$50)</f>
        <v>0</v>
      </c>
      <c r="AG28" s="91">
        <f>IF(AG$7&lt;=условия!$E$18,0,условия!$E$45*условия!$E$49*условия!$E$50)</f>
        <v>0</v>
      </c>
      <c r="AH28" s="91">
        <f>IF(AH$7&lt;=условия!$E$18,0,условия!$E$45*условия!$E$49*условия!$E$50)</f>
        <v>0</v>
      </c>
      <c r="AI28" s="91">
        <f>IF(AI$7&lt;=условия!$E$18,0,условия!$E$45*условия!$E$49*условия!$E$50)</f>
        <v>0</v>
      </c>
      <c r="AJ28" s="91">
        <f>IF(AJ$7&lt;=условия!$E$18,0,условия!$E$45*условия!$E$49*условия!$E$50)</f>
        <v>0</v>
      </c>
      <c r="AK28" s="91">
        <f>IF(AK$7&lt;=условия!$E$18,0,условия!$E$45*условия!$E$49*условия!$E$50)</f>
        <v>0</v>
      </c>
      <c r="AL28" s="91">
        <f>IF(AL$7&lt;=условия!$E$18,0,условия!$E$45*условия!$E$49*условия!$E$50)</f>
        <v>0</v>
      </c>
      <c r="AM28" s="91">
        <f>IF(AM$7&lt;=условия!$E$18,0,условия!$E$45*условия!$E$49*условия!$E$50)</f>
        <v>0</v>
      </c>
      <c r="AN28" s="91">
        <f>IF(AN$7&lt;=условия!$E$18,0,условия!$E$45*условия!$E$49*условия!$E$50)</f>
        <v>0</v>
      </c>
      <c r="AO28" s="91">
        <f>IF(AO$7&lt;=условия!$E$18,0,условия!$E$45*условия!$E$49*условия!$E$50)</f>
        <v>0</v>
      </c>
      <c r="AP28" s="91">
        <f>IF(AP$7&lt;=условия!$E$18,0,условия!$E$45*условия!$E$49*условия!$E$50)</f>
        <v>0</v>
      </c>
      <c r="AQ28" s="91">
        <f>IF(AQ$7&lt;=условия!$E$18,0,условия!$E$45*условия!$E$49*условия!$E$50)</f>
        <v>0</v>
      </c>
      <c r="AR28" s="91">
        <f>IF(AR$7&lt;=условия!$E$18,0,условия!$E$45*условия!$E$49*условия!$E$50)</f>
        <v>0</v>
      </c>
      <c r="AS28" s="91">
        <f>IF(AS$7&lt;=условия!$E$18,0,условия!$E$45*условия!$E$49*условия!$E$50)</f>
        <v>0</v>
      </c>
      <c r="AT28" s="91">
        <f>IF(AT$7&lt;=условия!$E$18,0,условия!$E$45*условия!$E$49*условия!$E$50)</f>
        <v>0</v>
      </c>
      <c r="AU28" s="91">
        <f>IF(AU$7&lt;=условия!$E$18,0,условия!$E$45*условия!$E$49*условия!$E$50)</f>
        <v>0</v>
      </c>
      <c r="AV28" s="91">
        <f>IF(AV$7&lt;=условия!$E$18,0,условия!$E$45*условия!$E$49*условия!$E$50)</f>
        <v>0</v>
      </c>
      <c r="AW28" s="91">
        <f>IF(AW$7&lt;=условия!$E$18,0,условия!$E$45*условия!$E$49*условия!$E$50)</f>
        <v>0</v>
      </c>
      <c r="AX28" s="91">
        <f>IF(AX$7&lt;=условия!$E$18,0,условия!$E$45*условия!$E$49*условия!$E$50)</f>
        <v>0</v>
      </c>
      <c r="AY28" s="91">
        <f>IF(AY$7&lt;=условия!$E$18,0,условия!$E$45*условия!$E$49*условия!$E$50)</f>
        <v>540000.00000000012</v>
      </c>
      <c r="AZ28" s="91">
        <f>IF(AZ$7&lt;=условия!$E$18,0,условия!$E$45*условия!$E$49*условия!$E$50)</f>
        <v>540000.00000000012</v>
      </c>
      <c r="BA28" s="91">
        <f>IF(BA$7&lt;=условия!$E$18,0,условия!$E$45*условия!$E$49*условия!$E$50)</f>
        <v>540000.00000000012</v>
      </c>
      <c r="BB28" s="91">
        <f>IF(BB$7&lt;=условия!$E$18,0,условия!$E$45*условия!$E$49*условия!$E$50)</f>
        <v>540000.00000000012</v>
      </c>
      <c r="BC28" s="91">
        <f>IF(BC$7&lt;=условия!$E$18,0,условия!$E$45*условия!$E$49*условия!$E$50)</f>
        <v>540000.00000000012</v>
      </c>
      <c r="BD28" s="91">
        <f>IF(BD$7&lt;=условия!$E$18,0,условия!$E$45*условия!$E$49*условия!$E$50)</f>
        <v>540000.00000000012</v>
      </c>
      <c r="BE28" s="91">
        <f>IF(BE$7&lt;=условия!$E$18,0,условия!$E$45*условия!$E$49*условия!$E$50)</f>
        <v>540000.00000000012</v>
      </c>
      <c r="BF28" s="91">
        <f>IF(BF$7&lt;=условия!$E$18,0,условия!$E$45*условия!$E$49*условия!$E$50)</f>
        <v>540000.00000000012</v>
      </c>
      <c r="BG28" s="91">
        <f>IF(BG$7&lt;=условия!$E$18,0,условия!$E$45*условия!$E$49*условия!$E$50)</f>
        <v>540000.00000000012</v>
      </c>
      <c r="BH28" s="91">
        <f>IF(BH$7&lt;=условия!$E$18,0,условия!$E$45*условия!$E$49*условия!$E$50)</f>
        <v>540000.00000000012</v>
      </c>
      <c r="BI28" s="91">
        <f>IF(BI$7&lt;=условия!$E$18,0,условия!$E$45*условия!$E$49*условия!$E$50)</f>
        <v>540000.00000000012</v>
      </c>
      <c r="BJ28" s="91">
        <f>IF(BJ$7&lt;=условия!$E$18,0,условия!$E$45*условия!$E$49*условия!$E$50)</f>
        <v>540000.00000000012</v>
      </c>
      <c r="BK28" s="91">
        <f>IF(BK$7&lt;=условия!$E$18,0,условия!$E$45*условия!$E$49*условия!$E$50)</f>
        <v>540000.00000000012</v>
      </c>
      <c r="BL28" s="91">
        <f>IF(BL$7&lt;=условия!$E$18,0,условия!$E$45*условия!$E$49*условия!$E$50)</f>
        <v>540000.00000000012</v>
      </c>
      <c r="BM28" s="91">
        <f>IF(BM$7&lt;=условия!$E$18,0,условия!$E$45*условия!$E$49*условия!$E$50)</f>
        <v>540000.00000000012</v>
      </c>
      <c r="BN28" s="91">
        <f>IF(BN$7&lt;=условия!$E$18,0,условия!$E$45*условия!$E$49*условия!$E$50)</f>
        <v>540000.00000000012</v>
      </c>
      <c r="BO28" s="91">
        <f>IF(BO$7&lt;=условия!$E$18,0,условия!$E$45*условия!$E$49*условия!$E$50)</f>
        <v>540000.00000000012</v>
      </c>
      <c r="BP28" s="91">
        <f>IF(BP$7&lt;=условия!$E$18,0,условия!$E$45*условия!$E$49*условия!$E$50)</f>
        <v>540000.00000000012</v>
      </c>
      <c r="BQ28" s="91">
        <f>IF(BQ$7&lt;=условия!$E$18,0,условия!$E$45*условия!$E$49*условия!$E$50)</f>
        <v>540000.00000000012</v>
      </c>
      <c r="BR28" s="91">
        <f>IF(BR$7&lt;=условия!$E$18,0,условия!$E$45*условия!$E$49*условия!$E$50)</f>
        <v>540000.00000000012</v>
      </c>
      <c r="BS28" s="91">
        <f>IF(BS$7&lt;=условия!$E$18,0,условия!$E$45*условия!$E$49*условия!$E$50)</f>
        <v>540000.00000000012</v>
      </c>
      <c r="BT28" s="91">
        <f>IF(BT$7&lt;=условия!$E$18,0,условия!$E$45*условия!$E$49*условия!$E$50)</f>
        <v>540000.00000000012</v>
      </c>
      <c r="BU28" s="91">
        <f>IF(BU$7&lt;=условия!$E$18,0,условия!$E$45*условия!$E$49*условия!$E$50)</f>
        <v>540000.00000000012</v>
      </c>
      <c r="BV28" s="91">
        <f>IF(BV$7&lt;=условия!$E$18,0,условия!$E$45*условия!$E$49*условия!$E$50)</f>
        <v>540000.00000000012</v>
      </c>
      <c r="BW28" s="91">
        <f>IF(BW$7&lt;=условия!$E$18,0,условия!$E$45*условия!$E$49*условия!$E$50)</f>
        <v>540000.00000000012</v>
      </c>
      <c r="BX28" s="91">
        <f>IF(BX$7&lt;=условия!$E$18,0,условия!$E$45*условия!$E$49*условия!$E$50)</f>
        <v>540000.00000000012</v>
      </c>
      <c r="BY28" s="91">
        <f>IF(BY$7&lt;=условия!$E$18,0,условия!$E$45*условия!$E$49*условия!$E$50)</f>
        <v>540000.00000000012</v>
      </c>
      <c r="BZ28" s="91">
        <f>IF(BZ$7&lt;=условия!$E$18,0,условия!$E$45*условия!$E$49*условия!$E$50)</f>
        <v>540000.00000000012</v>
      </c>
      <c r="CA28" s="91">
        <f>IF(CA$7&lt;=условия!$E$18,0,условия!$E$45*условия!$E$49*условия!$E$50)</f>
        <v>540000.00000000012</v>
      </c>
      <c r="CB28" s="91">
        <f>IF(CB$7&lt;=условия!$E$18,0,условия!$E$45*условия!$E$49*условия!$E$50)</f>
        <v>540000.00000000012</v>
      </c>
      <c r="CC28" s="91">
        <f>IF(CC$7&lt;=условия!$E$18,0,условия!$E$45*условия!$E$49*условия!$E$50)</f>
        <v>540000.00000000012</v>
      </c>
      <c r="CD28" s="91">
        <f>IF(CD$7&lt;=условия!$E$18,0,условия!$E$45*условия!$E$49*условия!$E$50)</f>
        <v>540000.00000000012</v>
      </c>
      <c r="CE28" s="91">
        <f>IF(CE$7&lt;=условия!$E$18,0,условия!$E$45*условия!$E$49*условия!$E$50)</f>
        <v>540000.00000000012</v>
      </c>
    </row>
    <row r="29" spans="3:83" s="3" customFormat="1">
      <c r="C29" s="3" t="str">
        <f>IF(условия!$E$9=1,условия!$C$9,IF(условия!$E$10=1,условия!$C$10,IF(условия!$E$11=1,условия!$C$11,"")))</f>
        <v>ОСНО</v>
      </c>
      <c r="E29" s="89" t="s">
        <v>15</v>
      </c>
      <c r="F29" s="89"/>
      <c r="G29" s="88"/>
      <c r="H29" s="89"/>
      <c r="I29" s="88" t="s">
        <v>17</v>
      </c>
      <c r="J29" s="90">
        <f>условия!$E$39*(условия!$E$40+условия!$E$41)</f>
        <v>333600000</v>
      </c>
      <c r="K29" s="94"/>
      <c r="L29" s="91">
        <f>IF(OR(L$7&lt;условия!$E$17,L$7&gt;условия!$E$19),0,(L$2)*($J29*(MAX($2:$2)/(MAX($2:$2)+MAX($3:$3)))/((MAX($2:$2)*(MAX($2:$2)+1)/2))))+IF(L$7&lt;=условия!$E$19,0,(-L$3+MAX($3:$3))*($J29*(MAX($3:$3)/(MAX($2:$2)+MAX($3:$3)))/((MAX($3:$3)*(MAX($3:$3)+1)/2))))</f>
        <v>0</v>
      </c>
      <c r="M29" s="91">
        <f>IF(OR(M$7&lt;условия!$E$17,M$7&gt;условия!$E$19),0,(M$2)*($J29*(MAX($2:$2)/(MAX($2:$2)+MAX($3:$3)))/((MAX($2:$2)*(MAX($2:$2)+1)/2))))+IF(M$7&lt;=условия!$E$19,0,(-M$3+MAX($3:$3))*($J29*(MAX($3:$3)/(MAX($2:$2)+MAX($3:$3)))/((MAX($3:$3)*(MAX($3:$3)+1)/2))))</f>
        <v>0</v>
      </c>
      <c r="N29" s="91">
        <f>IF(OR(N$7&lt;условия!$E$17,N$7&gt;условия!$E$19),0,(N$2)*($J29*(MAX($2:$2)/(MAX($2:$2)+MAX($3:$3)))/((MAX($2:$2)*(MAX($2:$2)+1)/2))))+IF(N$7&lt;=условия!$E$19,0,(-N$3+MAX($3:$3))*($J29*(MAX($3:$3)/(MAX($2:$2)+MAX($3:$3)))/((MAX($3:$3)*(MAX($3:$3)+1)/2))))</f>
        <v>0</v>
      </c>
      <c r="O29" s="91">
        <f>IF(OR(O$7&lt;условия!$E$17,O$7&gt;условия!$E$19),0,(O$2)*($J29*(MAX($2:$2)/(MAX($2:$2)+MAX($3:$3)))/((MAX($2:$2)*(MAX($2:$2)+1)/2))))+IF(O$7&lt;=условия!$E$19,0,(-O$3+MAX($3:$3))*($J29*(MAX($3:$3)/(MAX($2:$2)+MAX($3:$3)))/((MAX($3:$3)*(MAX($3:$3)+1)/2))))</f>
        <v>0</v>
      </c>
      <c r="P29" s="91">
        <f>IF(OR(P$7&lt;условия!$E$17,P$7&gt;условия!$E$19),0,(P$2)*($J29*(MAX($2:$2)/(MAX($2:$2)+MAX($3:$3)))/((MAX($2:$2)*(MAX($2:$2)+1)/2))))+IF(P$7&lt;=условия!$E$19,0,(-P$3+MAX($3:$3))*($J29*(MAX($3:$3)/(MAX($2:$2)+MAX($3:$3)))/((MAX($3:$3)*(MAX($3:$3)+1)/2))))</f>
        <v>0</v>
      </c>
      <c r="Q29" s="91">
        <f>IF(OR(Q$7&lt;условия!$E$17,Q$7&gt;условия!$E$19),0,(Q$2)*($J29*(MAX($2:$2)/(MAX($2:$2)+MAX($3:$3)))/((MAX($2:$2)*(MAX($2:$2)+1)/2))))+IF(Q$7&lt;=условия!$E$19,0,(-Q$3+MAX($3:$3))*($J29*(MAX($3:$3)/(MAX($2:$2)+MAX($3:$3)))/((MAX($3:$3)*(MAX($3:$3)+1)/2))))</f>
        <v>0</v>
      </c>
      <c r="R29" s="91">
        <f>IF(OR(R$7&lt;условия!$E$17,R$7&gt;условия!$E$19),0,(R$2)*($J29*(MAX($2:$2)/(MAX($2:$2)+MAX($3:$3)))/((MAX($2:$2)*(MAX($2:$2)+1)/2))))+IF(R$7&lt;=условия!$E$19,0,(-R$3+MAX($3:$3))*($J29*(MAX($3:$3)/(MAX($2:$2)+MAX($3:$3)))/((MAX($3:$3)*(MAX($3:$3)+1)/2))))</f>
        <v>0</v>
      </c>
      <c r="S29" s="91">
        <f>IF(OR(S$7&lt;условия!$E$17,S$7&gt;условия!$E$19),0,(S$2)*($J29*(MAX($2:$2)/(MAX($2:$2)+MAX($3:$3)))/((MAX($2:$2)*(MAX($2:$2)+1)/2))))+IF(S$7&lt;=условия!$E$19,0,(-S$3+MAX($3:$3))*($J29*(MAX($3:$3)/(MAX($2:$2)+MAX($3:$3)))/((MAX($3:$3)*(MAX($3:$3)+1)/2))))</f>
        <v>0</v>
      </c>
      <c r="T29" s="91">
        <f>IF(OR(T$7&lt;условия!$E$17,T$7&gt;условия!$E$19),0,(T$2)*($J29*(MAX($2:$2)/(MAX($2:$2)+MAX($3:$3)))/((MAX($2:$2)*(MAX($2:$2)+1)/2))))+IF(T$7&lt;=условия!$E$19,0,(-T$3+MAX($3:$3))*($J29*(MAX($3:$3)/(MAX($2:$2)+MAX($3:$3)))/((MAX($3:$3)*(MAX($3:$3)+1)/2))))</f>
        <v>0</v>
      </c>
      <c r="U29" s="91">
        <f>IF(OR(U$7&lt;условия!$E$17,U$7&gt;условия!$E$19),0,(U$2)*($J29*(MAX($2:$2)/(MAX($2:$2)+MAX($3:$3)))/((MAX($2:$2)*(MAX($2:$2)+1)/2))))+IF(U$7&lt;=условия!$E$19,0,(-U$3+MAX($3:$3))*($J29*(MAX($3:$3)/(MAX($2:$2)+MAX($3:$3)))/((MAX($3:$3)*(MAX($3:$3)+1)/2))))</f>
        <v>0</v>
      </c>
      <c r="V29" s="91">
        <f>IF(OR(V$7&lt;условия!$E$17,V$7&gt;условия!$E$19),0,(V$2)*($J29*(MAX($2:$2)/(MAX($2:$2)+MAX($3:$3)))/((MAX($2:$2)*(MAX($2:$2)+1)/2))))+IF(V$7&lt;=условия!$E$19,0,(-V$3+MAX($3:$3))*($J29*(MAX($3:$3)/(MAX($2:$2)+MAX($3:$3)))/((MAX($3:$3)*(MAX($3:$3)+1)/2))))</f>
        <v>0</v>
      </c>
      <c r="W29" s="91">
        <f>IF(OR(W$7&lt;условия!$E$17,W$7&gt;условия!$E$19),0,(W$2)*($J29*(MAX($2:$2)/(MAX($2:$2)+MAX($3:$3)))/((MAX($2:$2)*(MAX($2:$2)+1)/2))))+IF(W$7&lt;=условия!$E$19,0,(-W$3+MAX($3:$3))*($J29*(MAX($3:$3)/(MAX($2:$2)+MAX($3:$3)))/((MAX($3:$3)*(MAX($3:$3)+1)/2))))</f>
        <v>0</v>
      </c>
      <c r="X29" s="91">
        <f>IF(OR(X$7&lt;условия!$E$17,X$7&gt;условия!$E$19),0,(X$2)*($J29*(MAX($2:$2)/(MAX($2:$2)+MAX($3:$3)))/((MAX($2:$2)*(MAX($2:$2)+1)/2))))+IF(X$7&lt;=условия!$E$19,0,(-X$3+MAX($3:$3))*($J29*(MAX($3:$3)/(MAX($2:$2)+MAX($3:$3)))/((MAX($3:$3)*(MAX($3:$3)+1)/2))))</f>
        <v>0</v>
      </c>
      <c r="Y29" s="91">
        <f>IF(OR(Y$7&lt;условия!$E$17,Y$7&gt;условия!$E$19),0,(Y$2)*($J29*(MAX($2:$2)/(MAX($2:$2)+MAX($3:$3)))/((MAX($2:$2)*(MAX($2:$2)+1)/2))))+IF(Y$7&lt;=условия!$E$19,0,(-Y$3+MAX($3:$3))*($J29*(MAX($3:$3)/(MAX($2:$2)+MAX($3:$3)))/((MAX($3:$3)*(MAX($3:$3)+1)/2))))</f>
        <v>0</v>
      </c>
      <c r="Z29" s="91">
        <f>IF(OR(Z$7&lt;условия!$E$17,Z$7&gt;условия!$E$19),0,(Z$2)*($J29*(MAX($2:$2)/(MAX($2:$2)+MAX($3:$3)))/((MAX($2:$2)*(MAX($2:$2)+1)/2))))+IF(Z$7&lt;=условия!$E$19,0,(-Z$3+MAX($3:$3))*($J29*(MAX($3:$3)/(MAX($2:$2)+MAX($3:$3)))/((MAX($3:$3)*(MAX($3:$3)+1)/2))))</f>
        <v>0</v>
      </c>
      <c r="AA29" s="91">
        <f>IF(OR(AA$7&lt;условия!$E$17,AA$7&gt;условия!$E$19),0,(AA$2)*($J29*(MAX($2:$2)/(MAX($2:$2)+MAX($3:$3)))/((MAX($2:$2)*(MAX($2:$2)+1)/2))))+IF(AA$7&lt;=условия!$E$19,0,(-AA$3+MAX($3:$3))*($J29*(MAX($3:$3)/(MAX($2:$2)+MAX($3:$3)))/((MAX($3:$3)*(MAX($3:$3)+1)/2))))</f>
        <v>0</v>
      </c>
      <c r="AB29" s="91">
        <f>IF(OR(AB$7&lt;условия!$E$17,AB$7&gt;условия!$E$19),0,(AB$2)*($J29*(MAX($2:$2)/(MAX($2:$2)+MAX($3:$3)))/((MAX($2:$2)*(MAX($2:$2)+1)/2))))+IF(AB$7&lt;=условия!$E$19,0,(-AB$3+MAX($3:$3))*($J29*(MAX($3:$3)/(MAX($2:$2)+MAX($3:$3)))/((MAX($3:$3)*(MAX($3:$3)+1)/2))))</f>
        <v>0</v>
      </c>
      <c r="AC29" s="91">
        <f>IF(OR(AC$7&lt;условия!$E$17,AC$7&gt;условия!$E$19),0,(AC$2)*($J29*(MAX($2:$2)/(MAX($2:$2)+MAX($3:$3)))/((MAX($2:$2)*(MAX($2:$2)+1)/2))))+IF(AC$7&lt;=условия!$E$19,0,(-AC$3+MAX($3:$3))*($J29*(MAX($3:$3)/(MAX($2:$2)+MAX($3:$3)))/((MAX($3:$3)*(MAX($3:$3)+1)/2))))</f>
        <v>0</v>
      </c>
      <c r="AD29" s="91">
        <f>IF(OR(AD$7&lt;условия!$E$17,AD$7&gt;условия!$E$19),0,(AD$2)*($J29*(MAX($2:$2)/(MAX($2:$2)+MAX($3:$3)))/((MAX($2:$2)*(MAX($2:$2)+1)/2))))+IF(AD$7&lt;=условия!$E$19,0,(-AD$3+MAX($3:$3))*($J29*(MAX($3:$3)/(MAX($2:$2)+MAX($3:$3)))/((MAX($3:$3)*(MAX($3:$3)+1)/2))))</f>
        <v>0</v>
      </c>
      <c r="AE29" s="91">
        <f>IF(OR(AE$7&lt;условия!$E$17,AE$7&gt;условия!$E$19),0,(AE$2)*($J29*(MAX($2:$2)/(MAX($2:$2)+MAX($3:$3)))/((MAX($2:$2)*(MAX($2:$2)+1)/2))))+IF(AE$7&lt;=условия!$E$19,0,(-AE$3+MAX($3:$3))*($J29*(MAX($3:$3)/(MAX($2:$2)+MAX($3:$3)))/((MAX($3:$3)*(MAX($3:$3)+1)/2))))</f>
        <v>0</v>
      </c>
      <c r="AF29" s="91">
        <f>IF(OR(AF$7&lt;условия!$E$17,AF$7&gt;условия!$E$19),0,(AF$2)*($J29*(MAX($2:$2)/(MAX($2:$2)+MAX($3:$3)))/((MAX($2:$2)*(MAX($2:$2)+1)/2))))+IF(AF$7&lt;=условия!$E$19,0,(-AF$3+MAX($3:$3))*($J29*(MAX($3:$3)/(MAX($2:$2)+MAX($3:$3)))/((MAX($3:$3)*(MAX($3:$3)+1)/2))))</f>
        <v>0</v>
      </c>
      <c r="AG29" s="91">
        <f>IF(OR(AG$7&lt;условия!$E$17,AG$7&gt;условия!$E$19),0,(AG$2)*($J29*(MAX($2:$2)/(MAX($2:$2)+MAX($3:$3)))/((MAX($2:$2)*(MAX($2:$2)+1)/2))))+IF(AG$7&lt;=условия!$E$19,0,(-AG$3+MAX($3:$3))*($J29*(MAX($3:$3)/(MAX($2:$2)+MAX($3:$3)))/((MAX($3:$3)*(MAX($3:$3)+1)/2))))</f>
        <v>0</v>
      </c>
      <c r="AH29" s="91">
        <f>IF(OR(AH$7&lt;условия!$E$17,AH$7&gt;условия!$E$19),0,(AH$2)*($J29*(MAX($2:$2)/(MAX($2:$2)+MAX($3:$3)))/((MAX($2:$2)*(MAX($2:$2)+1)/2))))+IF(AH$7&lt;=условия!$E$19,0,(-AH$3+MAX($3:$3))*($J29*(MAX($3:$3)/(MAX($2:$2)+MAX($3:$3)))/((MAX($3:$3)*(MAX($3:$3)+1)/2))))</f>
        <v>0</v>
      </c>
      <c r="AI29" s="91">
        <f>IF(OR(AI$7&lt;условия!$E$17,AI$7&gt;условия!$E$19),0,(AI$2)*($J29*(MAX($2:$2)/(MAX($2:$2)+MAX($3:$3)))/((MAX($2:$2)*(MAX($2:$2)+1)/2))))+IF(AI$7&lt;=условия!$E$19,0,(-AI$3+MAX($3:$3))*($J29*(MAX($3:$3)/(MAX($2:$2)+MAX($3:$3)))/((MAX($3:$3)*(MAX($3:$3)+1)/2))))</f>
        <v>0</v>
      </c>
      <c r="AJ29" s="91">
        <f>IF(OR(AJ$7&lt;условия!$E$17,AJ$7&gt;условия!$E$19),0,(AJ$2)*($J29*(MAX($2:$2)/(MAX($2:$2)+MAX($3:$3)))/((MAX($2:$2)*(MAX($2:$2)+1)/2))))+IF(AJ$7&lt;=условия!$E$19,0,(-AJ$3+MAX($3:$3))*($J29*(MAX($3:$3)/(MAX($2:$2)+MAX($3:$3)))/((MAX($3:$3)*(MAX($3:$3)+1)/2))))</f>
        <v>0</v>
      </c>
      <c r="AK29" s="91">
        <f>IF(OR(AK$7&lt;условия!$E$17,AK$7&gt;условия!$E$19),0,(AK$2)*($J29*(MAX($2:$2)/(MAX($2:$2)+MAX($3:$3)))/((MAX($2:$2)*(MAX($2:$2)+1)/2))))+IF(AK$7&lt;=условия!$E$19,0,(-AK$3+MAX($3:$3))*($J29*(MAX($3:$3)/(MAX($2:$2)+MAX($3:$3)))/((MAX($3:$3)*(MAX($3:$3)+1)/2))))</f>
        <v>659288.5375494071</v>
      </c>
      <c r="AL29" s="91">
        <f>IF(OR(AL$7&lt;условия!$E$17,AL$7&gt;условия!$E$19),0,(AL$2)*($J29*(MAX($2:$2)/(MAX($2:$2)+MAX($3:$3)))/((MAX($2:$2)*(MAX($2:$2)+1)/2))))+IF(AL$7&lt;=условия!$E$19,0,(-AL$3+MAX($3:$3))*($J29*(MAX($3:$3)/(MAX($2:$2)+MAX($3:$3)))/((MAX($3:$3)*(MAX($3:$3)+1)/2))))</f>
        <v>1318577.0750988142</v>
      </c>
      <c r="AM29" s="91">
        <f>IF(OR(AM$7&lt;условия!$E$17,AM$7&gt;условия!$E$19),0,(AM$2)*($J29*(MAX($2:$2)/(MAX($2:$2)+MAX($3:$3)))/((MAX($2:$2)*(MAX($2:$2)+1)/2))))+IF(AM$7&lt;=условия!$E$19,0,(-AM$3+MAX($3:$3))*($J29*(MAX($3:$3)/(MAX($2:$2)+MAX($3:$3)))/((MAX($3:$3)*(MAX($3:$3)+1)/2))))</f>
        <v>1977865.6126482212</v>
      </c>
      <c r="AN29" s="91">
        <f>IF(OR(AN$7&lt;условия!$E$17,AN$7&gt;условия!$E$19),0,(AN$2)*($J29*(MAX($2:$2)/(MAX($2:$2)+MAX($3:$3)))/((MAX($2:$2)*(MAX($2:$2)+1)/2))))+IF(AN$7&lt;=условия!$E$19,0,(-AN$3+MAX($3:$3))*($J29*(MAX($3:$3)/(MAX($2:$2)+MAX($3:$3)))/((MAX($3:$3)*(MAX($3:$3)+1)/2))))</f>
        <v>2637154.1501976284</v>
      </c>
      <c r="AO29" s="91">
        <f>IF(OR(AO$7&lt;условия!$E$17,AO$7&gt;условия!$E$19),0,(AO$2)*($J29*(MAX($2:$2)/(MAX($2:$2)+MAX($3:$3)))/((MAX($2:$2)*(MAX($2:$2)+1)/2))))+IF(AO$7&lt;=условия!$E$19,0,(-AO$3+MAX($3:$3))*($J29*(MAX($3:$3)/(MAX($2:$2)+MAX($3:$3)))/((MAX($3:$3)*(MAX($3:$3)+1)/2))))</f>
        <v>3296442.6877470356</v>
      </c>
      <c r="AP29" s="91">
        <f>IF(OR(AP$7&lt;условия!$E$17,AP$7&gt;условия!$E$19),0,(AP$2)*($J29*(MAX($2:$2)/(MAX($2:$2)+MAX($3:$3)))/((MAX($2:$2)*(MAX($2:$2)+1)/2))))+IF(AP$7&lt;=условия!$E$19,0,(-AP$3+MAX($3:$3))*($J29*(MAX($3:$3)/(MAX($2:$2)+MAX($3:$3)))/((MAX($3:$3)*(MAX($3:$3)+1)/2))))</f>
        <v>3955731.2252964424</v>
      </c>
      <c r="AQ29" s="91">
        <f>IF(OR(AQ$7&lt;условия!$E$17,AQ$7&gt;условия!$E$19),0,(AQ$2)*($J29*(MAX($2:$2)/(MAX($2:$2)+MAX($3:$3)))/((MAX($2:$2)*(MAX($2:$2)+1)/2))))+IF(AQ$7&lt;=условия!$E$19,0,(-AQ$3+MAX($3:$3))*($J29*(MAX($3:$3)/(MAX($2:$2)+MAX($3:$3)))/((MAX($3:$3)*(MAX($3:$3)+1)/2))))</f>
        <v>4615019.7628458496</v>
      </c>
      <c r="AR29" s="91">
        <f>IF(OR(AR$7&lt;условия!$E$17,AR$7&gt;условия!$E$19),0,(AR$2)*($J29*(MAX($2:$2)/(MAX($2:$2)+MAX($3:$3)))/((MAX($2:$2)*(MAX($2:$2)+1)/2))))+IF(AR$7&lt;=условия!$E$19,0,(-AR$3+MAX($3:$3))*($J29*(MAX($3:$3)/(MAX($2:$2)+MAX($3:$3)))/((MAX($3:$3)*(MAX($3:$3)+1)/2))))</f>
        <v>5274308.3003952568</v>
      </c>
      <c r="AS29" s="91">
        <f>IF(OR(AS$7&lt;условия!$E$17,AS$7&gt;условия!$E$19),0,(AS$2)*($J29*(MAX($2:$2)/(MAX($2:$2)+MAX($3:$3)))/((MAX($2:$2)*(MAX($2:$2)+1)/2))))+IF(AS$7&lt;=условия!$E$19,0,(-AS$3+MAX($3:$3))*($J29*(MAX($3:$3)/(MAX($2:$2)+MAX($3:$3)))/((MAX($3:$3)*(MAX($3:$3)+1)/2))))</f>
        <v>5933596.8379446641</v>
      </c>
      <c r="AT29" s="91">
        <f>IF(OR(AT$7&lt;условия!$E$17,AT$7&gt;условия!$E$19),0,(AT$2)*($J29*(MAX($2:$2)/(MAX($2:$2)+MAX($3:$3)))/((MAX($2:$2)*(MAX($2:$2)+1)/2))))+IF(AT$7&lt;=условия!$E$19,0,(-AT$3+MAX($3:$3))*($J29*(MAX($3:$3)/(MAX($2:$2)+MAX($3:$3)))/((MAX($3:$3)*(MAX($3:$3)+1)/2))))</f>
        <v>6592885.3754940713</v>
      </c>
      <c r="AU29" s="91">
        <f>IF(OR(AU$7&lt;условия!$E$17,AU$7&gt;условия!$E$19),0,(AU$2)*($J29*(MAX($2:$2)/(MAX($2:$2)+MAX($3:$3)))/((MAX($2:$2)*(MAX($2:$2)+1)/2))))+IF(AU$7&lt;=условия!$E$19,0,(-AU$3+MAX($3:$3))*($J29*(MAX($3:$3)/(MAX($2:$2)+MAX($3:$3)))/((MAX($3:$3)*(MAX($3:$3)+1)/2))))</f>
        <v>7252173.9130434785</v>
      </c>
      <c r="AV29" s="91">
        <f>IF(OR(AV$7&lt;условия!$E$17,AV$7&gt;условия!$E$19),0,(AV$2)*($J29*(MAX($2:$2)/(MAX($2:$2)+MAX($3:$3)))/((MAX($2:$2)*(MAX($2:$2)+1)/2))))+IF(AV$7&lt;=условия!$E$19,0,(-AV$3+MAX($3:$3))*($J29*(MAX($3:$3)/(MAX($2:$2)+MAX($3:$3)))/((MAX($3:$3)*(MAX($3:$3)+1)/2))))</f>
        <v>7911462.4505928848</v>
      </c>
      <c r="AW29" s="91">
        <f>IF(OR(AW$7&lt;условия!$E$17,AW$7&gt;условия!$E$19),0,(AW$2)*($J29*(MAX($2:$2)/(MAX($2:$2)+MAX($3:$3)))/((MAX($2:$2)*(MAX($2:$2)+1)/2))))+IF(AW$7&lt;=условия!$E$19,0,(-AW$3+MAX($3:$3))*($J29*(MAX($3:$3)/(MAX($2:$2)+MAX($3:$3)))/((MAX($3:$3)*(MAX($3:$3)+1)/2))))</f>
        <v>8570750.9881422929</v>
      </c>
      <c r="AX29" s="91">
        <f>IF(OR(AX$7&lt;условия!$E$17,AX$7&gt;условия!$E$19),0,(AX$2)*($J29*(MAX($2:$2)/(MAX($2:$2)+MAX($3:$3)))/((MAX($2:$2)*(MAX($2:$2)+1)/2))))+IF(AX$7&lt;=условия!$E$19,0,(-AX$3+MAX($3:$3))*($J29*(MAX($3:$3)/(MAX($2:$2)+MAX($3:$3)))/((MAX($3:$3)*(MAX($3:$3)+1)/2))))</f>
        <v>9230039.5256916992</v>
      </c>
      <c r="AY29" s="91">
        <f>IF(OR(AY$7&lt;условия!$E$17,AY$7&gt;условия!$E$19),0,(AY$2)*($J29*(MAX($2:$2)/(MAX($2:$2)+MAX($3:$3)))/((MAX($2:$2)*(MAX($2:$2)+1)/2))))+IF(AY$7&lt;=условия!$E$19,0,(-AY$3+MAX($3:$3))*($J29*(MAX($3:$3)/(MAX($2:$2)+MAX($3:$3)))/((MAX($3:$3)*(MAX($3:$3)+1)/2))))</f>
        <v>9889328.0632411074</v>
      </c>
      <c r="AZ29" s="91">
        <f>IF(OR(AZ$7&lt;условия!$E$17,AZ$7&gt;условия!$E$19),0,(AZ$2)*($J29*(MAX($2:$2)/(MAX($2:$2)+MAX($3:$3)))/((MAX($2:$2)*(MAX($2:$2)+1)/2))))+IF(AZ$7&lt;=условия!$E$19,0,(-AZ$3+MAX($3:$3))*($J29*(MAX($3:$3)/(MAX($2:$2)+MAX($3:$3)))/((MAX($3:$3)*(MAX($3:$3)+1)/2))))</f>
        <v>10548616.600790514</v>
      </c>
      <c r="BA29" s="91">
        <f>IF(OR(BA$7&lt;условия!$E$17,BA$7&gt;условия!$E$19),0,(BA$2)*($J29*(MAX($2:$2)/(MAX($2:$2)+MAX($3:$3)))/((MAX($2:$2)*(MAX($2:$2)+1)/2))))+IF(BA$7&lt;=условия!$E$19,0,(-BA$3+MAX($3:$3))*($J29*(MAX($3:$3)/(MAX($2:$2)+MAX($3:$3)))/((MAX($3:$3)*(MAX($3:$3)+1)/2))))</f>
        <v>11207905.13833992</v>
      </c>
      <c r="BB29" s="91">
        <f>IF(OR(BB$7&lt;условия!$E$17,BB$7&gt;условия!$E$19),0,(BB$2)*($J29*(MAX($2:$2)/(MAX($2:$2)+MAX($3:$3)))/((MAX($2:$2)*(MAX($2:$2)+1)/2))))+IF(BB$7&lt;=условия!$E$19,0,(-BB$3+MAX($3:$3))*($J29*(MAX($3:$3)/(MAX($2:$2)+MAX($3:$3)))/((MAX($3:$3)*(MAX($3:$3)+1)/2))))</f>
        <v>11867193.675889328</v>
      </c>
      <c r="BC29" s="91">
        <f>IF(OR(BC$7&lt;условия!$E$17,BC$7&gt;условия!$E$19),0,(BC$2)*($J29*(MAX($2:$2)/(MAX($2:$2)+MAX($3:$3)))/((MAX($2:$2)*(MAX($2:$2)+1)/2))))+IF(BC$7&lt;=условия!$E$19,0,(-BC$3+MAX($3:$3))*($J29*(MAX($3:$3)/(MAX($2:$2)+MAX($3:$3)))/((MAX($3:$3)*(MAX($3:$3)+1)/2))))</f>
        <v>12526482.213438734</v>
      </c>
      <c r="BD29" s="91">
        <f>IF(OR(BD$7&lt;условия!$E$17,BD$7&gt;условия!$E$19),0,(BD$2)*($J29*(MAX($2:$2)/(MAX($2:$2)+MAX($3:$3)))/((MAX($2:$2)*(MAX($2:$2)+1)/2))))+IF(BD$7&lt;=условия!$E$19,0,(-BD$3+MAX($3:$3))*($J29*(MAX($3:$3)/(MAX($2:$2)+MAX($3:$3)))/((MAX($3:$3)*(MAX($3:$3)+1)/2))))</f>
        <v>13185770.750988143</v>
      </c>
      <c r="BE29" s="91">
        <f>IF(OR(BE$7&lt;условия!$E$17,BE$7&gt;условия!$E$19),0,(BE$2)*($J29*(MAX($2:$2)/(MAX($2:$2)+MAX($3:$3)))/((MAX($2:$2)*(MAX($2:$2)+1)/2))))+IF(BE$7&lt;=условия!$E$19,0,(-BE$3+MAX($3:$3))*($J29*(MAX($3:$3)/(MAX($2:$2)+MAX($3:$3)))/((MAX($3:$3)*(MAX($3:$3)+1)/2))))</f>
        <v>13845059.288537549</v>
      </c>
      <c r="BF29" s="91">
        <f>IF(OR(BF$7&lt;условия!$E$17,BF$7&gt;условия!$E$19),0,(BF$2)*($J29*(MAX($2:$2)/(MAX($2:$2)+MAX($3:$3)))/((MAX($2:$2)*(MAX($2:$2)+1)/2))))+IF(BF$7&lt;=условия!$E$19,0,(-BF$3+MAX($3:$3))*($J29*(MAX($3:$3)/(MAX($2:$2)+MAX($3:$3)))/((MAX($3:$3)*(MAX($3:$3)+1)/2))))</f>
        <v>13946488.294314381</v>
      </c>
      <c r="BG29" s="91">
        <f>IF(OR(BG$7&lt;условия!$E$17,BG$7&gt;условия!$E$19),0,(BG$2)*($J29*(MAX($2:$2)/(MAX($2:$2)+MAX($3:$3)))/((MAX($2:$2)*(MAX($2:$2)+1)/2))))+IF(BG$7&lt;=условия!$E$19,0,(-BG$3+MAX($3:$3))*($J29*(MAX($3:$3)/(MAX($2:$2)+MAX($3:$3)))/((MAX($3:$3)*(MAX($3:$3)+1)/2))))</f>
        <v>13388628.762541804</v>
      </c>
      <c r="BH29" s="91">
        <f>IF(OR(BH$7&lt;условия!$E$17,BH$7&gt;условия!$E$19),0,(BH$2)*($J29*(MAX($2:$2)/(MAX($2:$2)+MAX($3:$3)))/((MAX($2:$2)*(MAX($2:$2)+1)/2))))+IF(BH$7&lt;=условия!$E$19,0,(-BH$3+MAX($3:$3))*($J29*(MAX($3:$3)/(MAX($2:$2)+MAX($3:$3)))/((MAX($3:$3)*(MAX($3:$3)+1)/2))))</f>
        <v>12830769.23076923</v>
      </c>
      <c r="BI29" s="91">
        <f>IF(OR(BI$7&lt;условия!$E$17,BI$7&gt;условия!$E$19),0,(BI$2)*($J29*(MAX($2:$2)/(MAX($2:$2)+MAX($3:$3)))/((MAX($2:$2)*(MAX($2:$2)+1)/2))))+IF(BI$7&lt;=условия!$E$19,0,(-BI$3+MAX($3:$3))*($J29*(MAX($3:$3)/(MAX($2:$2)+MAX($3:$3)))/((MAX($3:$3)*(MAX($3:$3)+1)/2))))</f>
        <v>12272909.698996656</v>
      </c>
      <c r="BJ29" s="91">
        <f>IF(OR(BJ$7&lt;условия!$E$17,BJ$7&gt;условия!$E$19),0,(BJ$2)*($J29*(MAX($2:$2)/(MAX($2:$2)+MAX($3:$3)))/((MAX($2:$2)*(MAX($2:$2)+1)/2))))+IF(BJ$7&lt;=условия!$E$19,0,(-BJ$3+MAX($3:$3))*($J29*(MAX($3:$3)/(MAX($2:$2)+MAX($3:$3)))/((MAX($3:$3)*(MAX($3:$3)+1)/2))))</f>
        <v>11715050.167224079</v>
      </c>
      <c r="BK29" s="91">
        <f>IF(OR(BK$7&lt;условия!$E$17,BK$7&gt;условия!$E$19),0,(BK$2)*($J29*(MAX($2:$2)/(MAX($2:$2)+MAX($3:$3)))/((MAX($2:$2)*(MAX($2:$2)+1)/2))))+IF(BK$7&lt;=условия!$E$19,0,(-BK$3+MAX($3:$3))*($J29*(MAX($3:$3)/(MAX($2:$2)+MAX($3:$3)))/((MAX($3:$3)*(MAX($3:$3)+1)/2))))</f>
        <v>11157190.635451505</v>
      </c>
      <c r="BL29" s="91">
        <f>IF(OR(BL$7&lt;условия!$E$17,BL$7&gt;условия!$E$19),0,(BL$2)*($J29*(MAX($2:$2)/(MAX($2:$2)+MAX($3:$3)))/((MAX($2:$2)*(MAX($2:$2)+1)/2))))+IF(BL$7&lt;=условия!$E$19,0,(-BL$3+MAX($3:$3))*($J29*(MAX($3:$3)/(MAX($2:$2)+MAX($3:$3)))/((MAX($3:$3)*(MAX($3:$3)+1)/2))))</f>
        <v>10599331.103678929</v>
      </c>
      <c r="BM29" s="91">
        <f>IF(OR(BM$7&lt;условия!$E$17,BM$7&gt;условия!$E$19),0,(BM$2)*($J29*(MAX($2:$2)/(MAX($2:$2)+MAX($3:$3)))/((MAX($2:$2)*(MAX($2:$2)+1)/2))))+IF(BM$7&lt;=условия!$E$19,0,(-BM$3+MAX($3:$3))*($J29*(MAX($3:$3)/(MAX($2:$2)+MAX($3:$3)))/((MAX($3:$3)*(MAX($3:$3)+1)/2))))</f>
        <v>10041471.571906354</v>
      </c>
      <c r="BN29" s="91">
        <f>IF(OR(BN$7&lt;условия!$E$17,BN$7&gt;условия!$E$19),0,(BN$2)*($J29*(MAX($2:$2)/(MAX($2:$2)+MAX($3:$3)))/((MAX($2:$2)*(MAX($2:$2)+1)/2))))+IF(BN$7&lt;=условия!$E$19,0,(-BN$3+MAX($3:$3))*($J29*(MAX($3:$3)/(MAX($2:$2)+MAX($3:$3)))/((MAX($3:$3)*(MAX($3:$3)+1)/2))))</f>
        <v>9483612.040133778</v>
      </c>
      <c r="BO29" s="91">
        <f>IF(OR(BO$7&lt;условия!$E$17,BO$7&gt;условия!$E$19),0,(BO$2)*($J29*(MAX($2:$2)/(MAX($2:$2)+MAX($3:$3)))/((MAX($2:$2)*(MAX($2:$2)+1)/2))))+IF(BO$7&lt;=условия!$E$19,0,(-BO$3+MAX($3:$3))*($J29*(MAX($3:$3)/(MAX($2:$2)+MAX($3:$3)))/((MAX($3:$3)*(MAX($3:$3)+1)/2))))</f>
        <v>8925752.5083612036</v>
      </c>
      <c r="BP29" s="91">
        <f>IF(OR(BP$7&lt;условия!$E$17,BP$7&gt;условия!$E$19),0,(BP$2)*($J29*(MAX($2:$2)/(MAX($2:$2)+MAX($3:$3)))/((MAX($2:$2)*(MAX($2:$2)+1)/2))))+IF(BP$7&lt;=условия!$E$19,0,(-BP$3+MAX($3:$3))*($J29*(MAX($3:$3)/(MAX($2:$2)+MAX($3:$3)))/((MAX($3:$3)*(MAX($3:$3)+1)/2))))</f>
        <v>8367892.9765886283</v>
      </c>
      <c r="BQ29" s="91">
        <f>IF(OR(BQ$7&lt;условия!$E$17,BQ$7&gt;условия!$E$19),0,(BQ$2)*($J29*(MAX($2:$2)/(MAX($2:$2)+MAX($3:$3)))/((MAX($2:$2)*(MAX($2:$2)+1)/2))))+IF(BQ$7&lt;=условия!$E$19,0,(-BQ$3+MAX($3:$3))*($J29*(MAX($3:$3)/(MAX($2:$2)+MAX($3:$3)))/((MAX($3:$3)*(MAX($3:$3)+1)/2))))</f>
        <v>7810033.4448160529</v>
      </c>
      <c r="BR29" s="91">
        <f>IF(OR(BR$7&lt;условия!$E$17,BR$7&gt;условия!$E$19),0,(BR$2)*($J29*(MAX($2:$2)/(MAX($2:$2)+MAX($3:$3)))/((MAX($2:$2)*(MAX($2:$2)+1)/2))))+IF(BR$7&lt;=условия!$E$19,0,(-BR$3+MAX($3:$3))*($J29*(MAX($3:$3)/(MAX($2:$2)+MAX($3:$3)))/((MAX($3:$3)*(MAX($3:$3)+1)/2))))</f>
        <v>7252173.9130434776</v>
      </c>
      <c r="BS29" s="91">
        <f>IF(OR(BS$7&lt;условия!$E$17,BS$7&gt;условия!$E$19),0,(BS$2)*($J29*(MAX($2:$2)/(MAX($2:$2)+MAX($3:$3)))/((MAX($2:$2)*(MAX($2:$2)+1)/2))))+IF(BS$7&lt;=условия!$E$19,0,(-BS$3+MAX($3:$3))*($J29*(MAX($3:$3)/(MAX($2:$2)+MAX($3:$3)))/((MAX($3:$3)*(MAX($3:$3)+1)/2))))</f>
        <v>6694314.3812709022</v>
      </c>
      <c r="BT29" s="91">
        <f>IF(OR(BT$7&lt;условия!$E$17,BT$7&gt;условия!$E$19),0,(BT$2)*($J29*(MAX($2:$2)/(MAX($2:$2)+MAX($3:$3)))/((MAX($2:$2)*(MAX($2:$2)+1)/2))))+IF(BT$7&lt;=условия!$E$19,0,(-BT$3+MAX($3:$3))*($J29*(MAX($3:$3)/(MAX($2:$2)+MAX($3:$3)))/((MAX($3:$3)*(MAX($3:$3)+1)/2))))</f>
        <v>6136454.8494983278</v>
      </c>
      <c r="BU29" s="91">
        <f>IF(OR(BU$7&lt;условия!$E$17,BU$7&gt;условия!$E$19),0,(BU$2)*($J29*(MAX($2:$2)/(MAX($2:$2)+MAX($3:$3)))/((MAX($2:$2)*(MAX($2:$2)+1)/2))))+IF(BU$7&lt;=условия!$E$19,0,(-BU$3+MAX($3:$3))*($J29*(MAX($3:$3)/(MAX($2:$2)+MAX($3:$3)))/((MAX($3:$3)*(MAX($3:$3)+1)/2))))</f>
        <v>5578595.3177257525</v>
      </c>
      <c r="BV29" s="91">
        <f>IF(OR(BV$7&lt;условия!$E$17,BV$7&gt;условия!$E$19),0,(BV$2)*($J29*(MAX($2:$2)/(MAX($2:$2)+MAX($3:$3)))/((MAX($2:$2)*(MAX($2:$2)+1)/2))))+IF(BV$7&lt;=условия!$E$19,0,(-BV$3+MAX($3:$3))*($J29*(MAX($3:$3)/(MAX($2:$2)+MAX($3:$3)))/((MAX($3:$3)*(MAX($3:$3)+1)/2))))</f>
        <v>5020735.7859531771</v>
      </c>
      <c r="BW29" s="91">
        <f>IF(OR(BW$7&lt;условия!$E$17,BW$7&gt;условия!$E$19),0,(BW$2)*($J29*(MAX($2:$2)/(MAX($2:$2)+MAX($3:$3)))/((MAX($2:$2)*(MAX($2:$2)+1)/2))))+IF(BW$7&lt;=условия!$E$19,0,(-BW$3+MAX($3:$3))*($J29*(MAX($3:$3)/(MAX($2:$2)+MAX($3:$3)))/((MAX($3:$3)*(MAX($3:$3)+1)/2))))</f>
        <v>4462876.2541806018</v>
      </c>
      <c r="BX29" s="91">
        <f>IF(OR(BX$7&lt;условия!$E$17,BX$7&gt;условия!$E$19),0,(BX$2)*($J29*(MAX($2:$2)/(MAX($2:$2)+MAX($3:$3)))/((MAX($2:$2)*(MAX($2:$2)+1)/2))))+IF(BX$7&lt;=условия!$E$19,0,(-BX$3+MAX($3:$3))*($J29*(MAX($3:$3)/(MAX($2:$2)+MAX($3:$3)))/((MAX($3:$3)*(MAX($3:$3)+1)/2))))</f>
        <v>3905016.7224080265</v>
      </c>
      <c r="BY29" s="91">
        <f>IF(OR(BY$7&lt;условия!$E$17,BY$7&gt;условия!$E$19),0,(BY$2)*($J29*(MAX($2:$2)/(MAX($2:$2)+MAX($3:$3)))/((MAX($2:$2)*(MAX($2:$2)+1)/2))))+IF(BY$7&lt;=условия!$E$19,0,(-BY$3+MAX($3:$3))*($J29*(MAX($3:$3)/(MAX($2:$2)+MAX($3:$3)))/((MAX($3:$3)*(MAX($3:$3)+1)/2))))</f>
        <v>3347157.1906354511</v>
      </c>
      <c r="BZ29" s="91">
        <f>IF(OR(BZ$7&lt;условия!$E$17,BZ$7&gt;условия!$E$19),0,(BZ$2)*($J29*(MAX($2:$2)/(MAX($2:$2)+MAX($3:$3)))/((MAX($2:$2)*(MAX($2:$2)+1)/2))))+IF(BZ$7&lt;=условия!$E$19,0,(-BZ$3+MAX($3:$3))*($J29*(MAX($3:$3)/(MAX($2:$2)+MAX($3:$3)))/((MAX($3:$3)*(MAX($3:$3)+1)/2))))</f>
        <v>2789297.6588628762</v>
      </c>
      <c r="CA29" s="91">
        <f>IF(OR(CA$7&lt;условия!$E$17,CA$7&gt;условия!$E$19),0,(CA$2)*($J29*(MAX($2:$2)/(MAX($2:$2)+MAX($3:$3)))/((MAX($2:$2)*(MAX($2:$2)+1)/2))))+IF(CA$7&lt;=условия!$E$19,0,(-CA$3+MAX($3:$3))*($J29*(MAX($3:$3)/(MAX($2:$2)+MAX($3:$3)))/((MAX($3:$3)*(MAX($3:$3)+1)/2))))</f>
        <v>2231438.1270903009</v>
      </c>
      <c r="CB29" s="91">
        <f>IF(OR(CB$7&lt;условия!$E$17,CB$7&gt;условия!$E$19),0,(CB$2)*($J29*(MAX($2:$2)/(MAX($2:$2)+MAX($3:$3)))/((MAX($2:$2)*(MAX($2:$2)+1)/2))))+IF(CB$7&lt;=условия!$E$19,0,(-CB$3+MAX($3:$3))*($J29*(MAX($3:$3)/(MAX($2:$2)+MAX($3:$3)))/((MAX($3:$3)*(MAX($3:$3)+1)/2))))</f>
        <v>1673578.5953177256</v>
      </c>
      <c r="CC29" s="91">
        <f>IF(OR(CC$7&lt;условия!$E$17,CC$7&gt;условия!$E$19),0,(CC$2)*($J29*(MAX($2:$2)/(MAX($2:$2)+MAX($3:$3)))/((MAX($2:$2)*(MAX($2:$2)+1)/2))))+IF(CC$7&lt;=условия!$E$19,0,(-CC$3+MAX($3:$3))*($J29*(MAX($3:$3)/(MAX($2:$2)+MAX($3:$3)))/((MAX($3:$3)*(MAX($3:$3)+1)/2))))</f>
        <v>1115719.0635451504</v>
      </c>
      <c r="CD29" s="91">
        <f>IF(OR(CD$7&lt;условия!$E$17,CD$7&gt;условия!$E$19),0,(CD$2)*($J29*(MAX($2:$2)/(MAX($2:$2)+MAX($3:$3)))/((MAX($2:$2)*(MAX($2:$2)+1)/2))))+IF(CD$7&lt;=условия!$E$19,0,(-CD$3+MAX($3:$3))*($J29*(MAX($3:$3)/(MAX($2:$2)+MAX($3:$3)))/((MAX($3:$3)*(MAX($3:$3)+1)/2))))</f>
        <v>557859.53177257522</v>
      </c>
      <c r="CE29" s="91">
        <f>IF(OR(CE$7&lt;условия!$E$17,CE$7&gt;условия!$E$19),0,(CE$2)*($J29*(MAX($2:$2)/(MAX($2:$2)+MAX($3:$3)))/((MAX($2:$2)*(MAX($2:$2)+1)/2))))+IF(CE$7&lt;=условия!$E$19,0,(-CE$3+MAX($3:$3))*($J29*(MAX($3:$3)/(MAX($2:$2)+MAX($3:$3)))/((MAX($3:$3)*(MAX($3:$3)+1)/2))))</f>
        <v>0</v>
      </c>
    </row>
    <row r="30" spans="3:83">
      <c r="C30" s="4" t="str">
        <f>IF(условия!$E$9=1,условия!$C$9,IF(условия!$E$10=1,условия!$C$10,IF(условия!$E$11=1,условия!$C$11,"")))</f>
        <v>ОСНО</v>
      </c>
    </row>
    <row r="31" spans="3:83" s="3" customFormat="1">
      <c r="C31" s="3" t="str">
        <f>IF(условия!$E$9=1,условия!$C$9,IF(условия!$E$10=1,условия!$C$10,IF(условия!$E$11=1,условия!$C$11,"")))</f>
        <v>ОСНО</v>
      </c>
      <c r="E31" s="3" t="s">
        <v>26</v>
      </c>
      <c r="G31" s="33"/>
      <c r="I31" s="9" t="s">
        <v>17</v>
      </c>
      <c r="J31" s="43">
        <f>J9</f>
        <v>1792908777.7777777</v>
      </c>
      <c r="K31" s="69"/>
      <c r="L31" s="7">
        <f t="shared" ref="L31:AQ31" si="12">L25*$J$31/$J$25</f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si="12"/>
        <v>0</v>
      </c>
      <c r="Q31" s="7">
        <f t="shared" si="12"/>
        <v>0</v>
      </c>
      <c r="R31" s="7">
        <f t="shared" si="12"/>
        <v>0</v>
      </c>
      <c r="S31" s="7">
        <f t="shared" si="12"/>
        <v>0</v>
      </c>
      <c r="T31" s="7">
        <f t="shared" si="12"/>
        <v>0</v>
      </c>
      <c r="U31" s="7">
        <f t="shared" si="12"/>
        <v>0</v>
      </c>
      <c r="V31" s="7">
        <f t="shared" si="12"/>
        <v>0</v>
      </c>
      <c r="W31" s="7">
        <f t="shared" si="12"/>
        <v>0</v>
      </c>
      <c r="X31" s="7">
        <f t="shared" si="12"/>
        <v>0</v>
      </c>
      <c r="Y31" s="7">
        <f t="shared" si="12"/>
        <v>0</v>
      </c>
      <c r="Z31" s="7">
        <f t="shared" si="12"/>
        <v>0</v>
      </c>
      <c r="AA31" s="7">
        <f t="shared" si="12"/>
        <v>0</v>
      </c>
      <c r="AB31" s="7">
        <f t="shared" si="12"/>
        <v>0</v>
      </c>
      <c r="AC31" s="7">
        <f t="shared" si="12"/>
        <v>0</v>
      </c>
      <c r="AD31" s="7">
        <f t="shared" si="12"/>
        <v>0</v>
      </c>
      <c r="AE31" s="7">
        <f t="shared" si="12"/>
        <v>0</v>
      </c>
      <c r="AF31" s="7">
        <f t="shared" si="12"/>
        <v>0</v>
      </c>
      <c r="AG31" s="7">
        <f t="shared" si="12"/>
        <v>0</v>
      </c>
      <c r="AH31" s="7">
        <f t="shared" si="12"/>
        <v>0</v>
      </c>
      <c r="AI31" s="7">
        <f t="shared" si="12"/>
        <v>0</v>
      </c>
      <c r="AJ31" s="7">
        <f t="shared" si="12"/>
        <v>0</v>
      </c>
      <c r="AK31" s="7">
        <f t="shared" si="12"/>
        <v>3518473.740399817</v>
      </c>
      <c r="AL31" s="7">
        <f t="shared" si="12"/>
        <v>7036947.480799634</v>
      </c>
      <c r="AM31" s="7">
        <f t="shared" si="12"/>
        <v>10555421.221199451</v>
      </c>
      <c r="AN31" s="7">
        <f t="shared" si="12"/>
        <v>14073894.961599268</v>
      </c>
      <c r="AO31" s="7">
        <f t="shared" si="12"/>
        <v>17592368.701999083</v>
      </c>
      <c r="AP31" s="7">
        <f t="shared" si="12"/>
        <v>21110842.442398902</v>
      </c>
      <c r="AQ31" s="7">
        <f t="shared" si="12"/>
        <v>24629316.182798721</v>
      </c>
      <c r="AR31" s="7">
        <f t="shared" ref="AR31:BW31" si="13">AR25*$J$31/$J$25</f>
        <v>28147789.923198536</v>
      </c>
      <c r="AS31" s="7">
        <f t="shared" si="13"/>
        <v>31666263.663598351</v>
      </c>
      <c r="AT31" s="7">
        <f t="shared" si="13"/>
        <v>35184737.403998166</v>
      </c>
      <c r="AU31" s="7">
        <f t="shared" si="13"/>
        <v>38703211.144397981</v>
      </c>
      <c r="AV31" s="7">
        <f t="shared" si="13"/>
        <v>42221684.884797804</v>
      </c>
      <c r="AW31" s="7">
        <f t="shared" si="13"/>
        <v>45740158.625197627</v>
      </c>
      <c r="AX31" s="7">
        <f t="shared" si="13"/>
        <v>49258632.365597442</v>
      </c>
      <c r="AY31" s="7">
        <f t="shared" si="13"/>
        <v>53157744.443435751</v>
      </c>
      <c r="AZ31" s="7">
        <f t="shared" si="13"/>
        <v>56676218.183835566</v>
      </c>
      <c r="BA31" s="7">
        <f t="shared" si="13"/>
        <v>60194691.924235381</v>
      </c>
      <c r="BB31" s="7">
        <f t="shared" si="13"/>
        <v>63713165.664635196</v>
      </c>
      <c r="BC31" s="7">
        <f t="shared" si="13"/>
        <v>67231639.405035019</v>
      </c>
      <c r="BD31" s="7">
        <f t="shared" si="13"/>
        <v>70750113.145434827</v>
      </c>
      <c r="BE31" s="7">
        <f t="shared" si="13"/>
        <v>74268586.885834649</v>
      </c>
      <c r="BF31" s="7">
        <f t="shared" si="13"/>
        <v>74809890.53820385</v>
      </c>
      <c r="BG31" s="7">
        <f t="shared" si="13"/>
        <v>71832720.450173214</v>
      </c>
      <c r="BH31" s="7">
        <f t="shared" si="13"/>
        <v>68855550.362142608</v>
      </c>
      <c r="BI31" s="7">
        <f t="shared" si="13"/>
        <v>65878380.274112016</v>
      </c>
      <c r="BJ31" s="7">
        <f t="shared" si="13"/>
        <v>62901210.186081387</v>
      </c>
      <c r="BK31" s="7">
        <f t="shared" si="13"/>
        <v>59924040.098050781</v>
      </c>
      <c r="BL31" s="7">
        <f t="shared" si="13"/>
        <v>56946870.010020167</v>
      </c>
      <c r="BM31" s="7">
        <f t="shared" si="13"/>
        <v>53969699.921989553</v>
      </c>
      <c r="BN31" s="7">
        <f t="shared" si="13"/>
        <v>50992529.833958939</v>
      </c>
      <c r="BO31" s="7">
        <f t="shared" si="13"/>
        <v>48015359.745928317</v>
      </c>
      <c r="BP31" s="7">
        <f t="shared" si="13"/>
        <v>45038189.657897703</v>
      </c>
      <c r="BQ31" s="7">
        <f t="shared" si="13"/>
        <v>42061019.569867089</v>
      </c>
      <c r="BR31" s="7">
        <f t="shared" si="13"/>
        <v>39083849.481836475</v>
      </c>
      <c r="BS31" s="7">
        <f t="shared" si="13"/>
        <v>36106679.393805854</v>
      </c>
      <c r="BT31" s="7">
        <f t="shared" si="13"/>
        <v>33129509.305775259</v>
      </c>
      <c r="BU31" s="7">
        <f t="shared" si="13"/>
        <v>30152339.217744637</v>
      </c>
      <c r="BV31" s="7">
        <f t="shared" si="13"/>
        <v>27175169.129714023</v>
      </c>
      <c r="BW31" s="7">
        <f t="shared" si="13"/>
        <v>24197999.041683409</v>
      </c>
      <c r="BX31" s="7">
        <f t="shared" ref="BX31:CE31" si="14">BX25*$J$31/$J$25</f>
        <v>21220828.953652792</v>
      </c>
      <c r="BY31" s="7">
        <f t="shared" si="14"/>
        <v>18243658.865622178</v>
      </c>
      <c r="BZ31" s="7">
        <f t="shared" si="14"/>
        <v>15266488.777591567</v>
      </c>
      <c r="CA31" s="7">
        <f t="shared" si="14"/>
        <v>12289318.689560952</v>
      </c>
      <c r="CB31" s="7">
        <f t="shared" si="14"/>
        <v>9312148.6015303358</v>
      </c>
      <c r="CC31" s="7">
        <f t="shared" si="14"/>
        <v>6334978.5134997237</v>
      </c>
      <c r="CD31" s="7">
        <f t="shared" si="14"/>
        <v>3357808.4254691107</v>
      </c>
      <c r="CE31" s="7">
        <f t="shared" si="14"/>
        <v>380638.3374384963</v>
      </c>
    </row>
    <row r="32" spans="3:83">
      <c r="C32" s="4" t="str">
        <f>IF(условия!$E$9=1,условия!$C$9,IF(условия!$E$10=1,условия!$C$10,IF(условия!$E$11=1,условия!$C$11,"")))</f>
        <v>ОСНО</v>
      </c>
    </row>
    <row r="33" spans="3:83" s="3" customFormat="1">
      <c r="C33" s="3" t="str">
        <f>IF(условия!$E$9=1,условия!$C$9,IF(условия!$E$10=1,условия!$C$10,IF(условия!$E$11=1,условия!$C$11,"")))</f>
        <v>ОСНО</v>
      </c>
      <c r="E33" s="3" t="s">
        <v>1</v>
      </c>
      <c r="G33" s="33"/>
      <c r="I33" s="9" t="s">
        <v>17</v>
      </c>
      <c r="J33" s="43">
        <f>J25-J31</f>
        <v>750636222.22222233</v>
      </c>
      <c r="K33" s="69"/>
      <c r="L33" s="7">
        <f t="shared" ref="L33:BW33" si="15">L25-L31</f>
        <v>0</v>
      </c>
      <c r="M33" s="7">
        <f t="shared" si="15"/>
        <v>0</v>
      </c>
      <c r="N33" s="7">
        <f t="shared" si="15"/>
        <v>0</v>
      </c>
      <c r="O33" s="7">
        <f t="shared" si="15"/>
        <v>0</v>
      </c>
      <c r="P33" s="7">
        <f t="shared" si="15"/>
        <v>0</v>
      </c>
      <c r="Q33" s="7">
        <f t="shared" si="15"/>
        <v>0</v>
      </c>
      <c r="R33" s="7">
        <f t="shared" si="15"/>
        <v>0</v>
      </c>
      <c r="S33" s="7">
        <f t="shared" si="15"/>
        <v>0</v>
      </c>
      <c r="T33" s="7">
        <f t="shared" si="15"/>
        <v>0</v>
      </c>
      <c r="U33" s="7">
        <f t="shared" si="15"/>
        <v>0</v>
      </c>
      <c r="V33" s="7">
        <f t="shared" si="15"/>
        <v>0</v>
      </c>
      <c r="W33" s="7">
        <f t="shared" si="15"/>
        <v>0</v>
      </c>
      <c r="X33" s="7">
        <f t="shared" si="15"/>
        <v>0</v>
      </c>
      <c r="Y33" s="7">
        <f t="shared" si="15"/>
        <v>0</v>
      </c>
      <c r="Z33" s="7">
        <f t="shared" si="15"/>
        <v>0</v>
      </c>
      <c r="AA33" s="7">
        <f t="shared" si="15"/>
        <v>0</v>
      </c>
      <c r="AB33" s="7">
        <f t="shared" si="15"/>
        <v>0</v>
      </c>
      <c r="AC33" s="7">
        <f t="shared" si="15"/>
        <v>0</v>
      </c>
      <c r="AD33" s="7">
        <f t="shared" si="15"/>
        <v>0</v>
      </c>
      <c r="AE33" s="7">
        <f t="shared" si="15"/>
        <v>0</v>
      </c>
      <c r="AF33" s="7">
        <f t="shared" si="15"/>
        <v>0</v>
      </c>
      <c r="AG33" s="7">
        <f t="shared" si="15"/>
        <v>0</v>
      </c>
      <c r="AH33" s="7">
        <f t="shared" si="15"/>
        <v>0</v>
      </c>
      <c r="AI33" s="7">
        <f t="shared" si="15"/>
        <v>0</v>
      </c>
      <c r="AJ33" s="7">
        <f t="shared" si="15"/>
        <v>0</v>
      </c>
      <c r="AK33" s="7">
        <f t="shared" si="15"/>
        <v>1473077.6429993929</v>
      </c>
      <c r="AL33" s="7">
        <f t="shared" si="15"/>
        <v>2946155.2859987859</v>
      </c>
      <c r="AM33" s="7">
        <f t="shared" si="15"/>
        <v>4419232.9289981779</v>
      </c>
      <c r="AN33" s="7">
        <f t="shared" si="15"/>
        <v>5892310.5719975717</v>
      </c>
      <c r="AO33" s="7">
        <f t="shared" si="15"/>
        <v>7365388.2149969637</v>
      </c>
      <c r="AP33" s="7">
        <f t="shared" si="15"/>
        <v>8838465.8579963557</v>
      </c>
      <c r="AQ33" s="7">
        <f t="shared" si="15"/>
        <v>10311543.500995748</v>
      </c>
      <c r="AR33" s="7">
        <f t="shared" si="15"/>
        <v>11784621.143995143</v>
      </c>
      <c r="AS33" s="7">
        <f t="shared" si="15"/>
        <v>13257698.786994532</v>
      </c>
      <c r="AT33" s="7">
        <f t="shared" si="15"/>
        <v>14730776.429993927</v>
      </c>
      <c r="AU33" s="7">
        <f t="shared" si="15"/>
        <v>16203854.072993316</v>
      </c>
      <c r="AV33" s="7">
        <f t="shared" si="15"/>
        <v>17676931.715992711</v>
      </c>
      <c r="AW33" s="7">
        <f t="shared" si="15"/>
        <v>19150009.358992107</v>
      </c>
      <c r="AX33" s="7">
        <f t="shared" si="15"/>
        <v>20623087.001991495</v>
      </c>
      <c r="AY33" s="7">
        <f t="shared" si="15"/>
        <v>22255526.30755239</v>
      </c>
      <c r="AZ33" s="7">
        <f t="shared" si="15"/>
        <v>23728603.950551793</v>
      </c>
      <c r="BA33" s="7">
        <f t="shared" si="15"/>
        <v>25201681.593551181</v>
      </c>
      <c r="BB33" s="7">
        <f t="shared" si="15"/>
        <v>26674759.23655057</v>
      </c>
      <c r="BC33" s="7">
        <f t="shared" si="15"/>
        <v>28147836.879549965</v>
      </c>
      <c r="BD33" s="7">
        <f t="shared" si="15"/>
        <v>29620914.522549361</v>
      </c>
      <c r="BE33" s="7">
        <f t="shared" si="15"/>
        <v>31093992.165548757</v>
      </c>
      <c r="BF33" s="7">
        <f t="shared" si="15"/>
        <v>31320619.495240957</v>
      </c>
      <c r="BG33" s="7">
        <f t="shared" si="15"/>
        <v>30074169.18193379</v>
      </c>
      <c r="BH33" s="7">
        <f t="shared" si="15"/>
        <v>28827718.868626609</v>
      </c>
      <c r="BI33" s="7">
        <f t="shared" si="15"/>
        <v>27581268.555319428</v>
      </c>
      <c r="BJ33" s="7">
        <f t="shared" si="15"/>
        <v>26334818.242012255</v>
      </c>
      <c r="BK33" s="7">
        <f t="shared" si="15"/>
        <v>25088367.928705074</v>
      </c>
      <c r="BL33" s="7">
        <f t="shared" si="15"/>
        <v>23841917.615397885</v>
      </c>
      <c r="BM33" s="7">
        <f t="shared" si="15"/>
        <v>22595467.302090712</v>
      </c>
      <c r="BN33" s="7">
        <f t="shared" si="15"/>
        <v>21349016.988783538</v>
      </c>
      <c r="BO33" s="7">
        <f t="shared" si="15"/>
        <v>20102566.675476357</v>
      </c>
      <c r="BP33" s="7">
        <f t="shared" si="15"/>
        <v>18856116.362169176</v>
      </c>
      <c r="BQ33" s="7">
        <f t="shared" si="15"/>
        <v>17609666.048862003</v>
      </c>
      <c r="BR33" s="7">
        <f t="shared" si="15"/>
        <v>16363215.735554822</v>
      </c>
      <c r="BS33" s="7">
        <f t="shared" si="15"/>
        <v>15116765.422247648</v>
      </c>
      <c r="BT33" s="7">
        <f t="shared" si="15"/>
        <v>13870315.108940464</v>
      </c>
      <c r="BU33" s="7">
        <f t="shared" si="15"/>
        <v>12623864.79563329</v>
      </c>
      <c r="BV33" s="7">
        <f t="shared" si="15"/>
        <v>11377414.482326109</v>
      </c>
      <c r="BW33" s="7">
        <f t="shared" si="15"/>
        <v>10130964.169018928</v>
      </c>
      <c r="BX33" s="7">
        <f t="shared" ref="BX33:CE33" si="16">BX25-BX31</f>
        <v>8884513.8557117544</v>
      </c>
      <c r="BY33" s="7">
        <f t="shared" si="16"/>
        <v>7638063.5424045734</v>
      </c>
      <c r="BZ33" s="7">
        <f t="shared" si="16"/>
        <v>6391613.2290973961</v>
      </c>
      <c r="CA33" s="7">
        <f t="shared" si="16"/>
        <v>5145162.915790217</v>
      </c>
      <c r="CB33" s="7">
        <f t="shared" si="16"/>
        <v>3898712.6024830397</v>
      </c>
      <c r="CC33" s="7">
        <f t="shared" si="16"/>
        <v>2652262.2891758606</v>
      </c>
      <c r="CD33" s="7">
        <f t="shared" si="16"/>
        <v>1405811.9758686824</v>
      </c>
      <c r="CE33" s="7">
        <f t="shared" si="16"/>
        <v>159361.66256150382</v>
      </c>
    </row>
    <row r="34" spans="3:83">
      <c r="C34" s="4" t="str">
        <f>IF(условия!$E$9=1,условия!$C$9,IF(условия!$E$10=1,условия!$C$10,IF(условия!$E$11=1,условия!$C$11,"")))</f>
        <v>ОСНО</v>
      </c>
    </row>
    <row r="35" spans="3:83" s="3" customFormat="1">
      <c r="C35" s="3" t="str">
        <f>IF(условия!$E$9=1,условия!$C$9,IF(условия!$E$10=1,условия!$C$10,IF(условия!$E$11=1,условия!$C$11,"")))</f>
        <v>ОСНО</v>
      </c>
      <c r="E35" s="3" t="s">
        <v>0</v>
      </c>
      <c r="G35" s="33"/>
      <c r="I35" s="9" t="s">
        <v>17</v>
      </c>
      <c r="J35" s="43">
        <f>SUM(J36:J40)</f>
        <v>214487288.9666667</v>
      </c>
      <c r="K35" s="69"/>
      <c r="L35" s="7">
        <f>SUM(L36:L40)</f>
        <v>0</v>
      </c>
      <c r="M35" s="7">
        <f t="shared" ref="M35:AQ35" si="17">SUM(M36:M40)</f>
        <v>0</v>
      </c>
      <c r="N35" s="7">
        <f t="shared" si="17"/>
        <v>0</v>
      </c>
      <c r="O35" s="7">
        <f t="shared" si="17"/>
        <v>0</v>
      </c>
      <c r="P35" s="7">
        <f t="shared" si="17"/>
        <v>0</v>
      </c>
      <c r="Q35" s="7">
        <f t="shared" si="17"/>
        <v>0</v>
      </c>
      <c r="R35" s="7">
        <f t="shared" si="17"/>
        <v>0</v>
      </c>
      <c r="S35" s="7">
        <f t="shared" si="17"/>
        <v>0</v>
      </c>
      <c r="T35" s="7">
        <f t="shared" si="17"/>
        <v>0</v>
      </c>
      <c r="U35" s="7">
        <f t="shared" si="17"/>
        <v>0</v>
      </c>
      <c r="V35" s="7">
        <f t="shared" si="17"/>
        <v>0</v>
      </c>
      <c r="W35" s="7">
        <f t="shared" si="17"/>
        <v>0</v>
      </c>
      <c r="X35" s="7">
        <f t="shared" si="17"/>
        <v>0</v>
      </c>
      <c r="Y35" s="7">
        <f t="shared" si="17"/>
        <v>0</v>
      </c>
      <c r="Z35" s="7">
        <f t="shared" si="17"/>
        <v>0</v>
      </c>
      <c r="AA35" s="7">
        <f t="shared" si="17"/>
        <v>0</v>
      </c>
      <c r="AB35" s="7">
        <f t="shared" si="17"/>
        <v>0</v>
      </c>
      <c r="AC35" s="7">
        <f t="shared" si="17"/>
        <v>0</v>
      </c>
      <c r="AD35" s="7">
        <f t="shared" si="17"/>
        <v>0</v>
      </c>
      <c r="AE35" s="7">
        <f t="shared" si="17"/>
        <v>0</v>
      </c>
      <c r="AF35" s="7">
        <f t="shared" si="17"/>
        <v>0</v>
      </c>
      <c r="AG35" s="7">
        <f t="shared" si="17"/>
        <v>0</v>
      </c>
      <c r="AH35" s="7">
        <f t="shared" si="17"/>
        <v>0</v>
      </c>
      <c r="AI35" s="7">
        <f t="shared" si="17"/>
        <v>0</v>
      </c>
      <c r="AJ35" s="7">
        <f t="shared" si="17"/>
        <v>0</v>
      </c>
      <c r="AK35" s="7">
        <f t="shared" si="17"/>
        <v>420918.17678205459</v>
      </c>
      <c r="AL35" s="7">
        <f t="shared" si="17"/>
        <v>841836.35356410919</v>
      </c>
      <c r="AM35" s="7">
        <f t="shared" si="17"/>
        <v>1262754.5303461638</v>
      </c>
      <c r="AN35" s="7">
        <f t="shared" si="17"/>
        <v>1683672.7071282184</v>
      </c>
      <c r="AO35" s="7">
        <f t="shared" si="17"/>
        <v>2104590.8839102732</v>
      </c>
      <c r="AP35" s="7">
        <f t="shared" si="17"/>
        <v>2525509.0606923276</v>
      </c>
      <c r="AQ35" s="7">
        <f t="shared" si="17"/>
        <v>2946427.2374743819</v>
      </c>
      <c r="AR35" s="7">
        <f t="shared" ref="AR35:BW35" si="18">SUM(AR36:AR40)</f>
        <v>3367345.4142564368</v>
      </c>
      <c r="AS35" s="7">
        <f t="shared" si="18"/>
        <v>3788263.5910384906</v>
      </c>
      <c r="AT35" s="7">
        <f t="shared" si="18"/>
        <v>4209181.7678205464</v>
      </c>
      <c r="AU35" s="7">
        <f t="shared" si="18"/>
        <v>4630099.9446026003</v>
      </c>
      <c r="AV35" s="7">
        <f t="shared" si="18"/>
        <v>5051018.1213846551</v>
      </c>
      <c r="AW35" s="7">
        <f t="shared" si="18"/>
        <v>5471936.2981667109</v>
      </c>
      <c r="AX35" s="7">
        <f t="shared" si="18"/>
        <v>5892854.4749487638</v>
      </c>
      <c r="AY35" s="7">
        <f t="shared" si="18"/>
        <v>6359308.7582443655</v>
      </c>
      <c r="AZ35" s="7">
        <f t="shared" si="18"/>
        <v>6780226.9350264212</v>
      </c>
      <c r="BA35" s="7">
        <f t="shared" si="18"/>
        <v>7201145.1118084751</v>
      </c>
      <c r="BB35" s="7">
        <f t="shared" si="18"/>
        <v>7622063.2885905299</v>
      </c>
      <c r="BC35" s="7">
        <f t="shared" si="18"/>
        <v>8042981.4653725829</v>
      </c>
      <c r="BD35" s="7">
        <f t="shared" si="18"/>
        <v>8463899.6421546396</v>
      </c>
      <c r="BE35" s="7">
        <f t="shared" si="18"/>
        <v>8884817.8189366944</v>
      </c>
      <c r="BF35" s="7">
        <f t="shared" si="18"/>
        <v>8949574.4615185466</v>
      </c>
      <c r="BG35" s="7">
        <f t="shared" si="18"/>
        <v>8593412.9273183476</v>
      </c>
      <c r="BH35" s="7">
        <f t="shared" si="18"/>
        <v>8237251.3931181468</v>
      </c>
      <c r="BI35" s="7">
        <f t="shared" si="18"/>
        <v>7881089.8589179479</v>
      </c>
      <c r="BJ35" s="7">
        <f t="shared" si="18"/>
        <v>7524928.324717747</v>
      </c>
      <c r="BK35" s="7">
        <f t="shared" si="18"/>
        <v>7168766.7905175481</v>
      </c>
      <c r="BL35" s="7">
        <f t="shared" si="18"/>
        <v>6812605.2563173464</v>
      </c>
      <c r="BM35" s="7">
        <f t="shared" si="18"/>
        <v>6456443.7221171474</v>
      </c>
      <c r="BN35" s="7">
        <f t="shared" si="18"/>
        <v>6100282.1879169475</v>
      </c>
      <c r="BO35" s="7">
        <f t="shared" si="18"/>
        <v>5744120.6537167467</v>
      </c>
      <c r="BP35" s="7">
        <f t="shared" si="18"/>
        <v>5387959.1195165468</v>
      </c>
      <c r="BQ35" s="7">
        <f t="shared" si="18"/>
        <v>5031797.585316347</v>
      </c>
      <c r="BR35" s="7">
        <f t="shared" si="18"/>
        <v>4675636.0511161471</v>
      </c>
      <c r="BS35" s="7">
        <f t="shared" si="18"/>
        <v>4319474.5169159472</v>
      </c>
      <c r="BT35" s="7">
        <f t="shared" si="18"/>
        <v>3963312.9827157473</v>
      </c>
      <c r="BU35" s="7">
        <f t="shared" si="18"/>
        <v>3607151.4485155474</v>
      </c>
      <c r="BV35" s="7">
        <f t="shared" si="18"/>
        <v>3250989.9143153471</v>
      </c>
      <c r="BW35" s="7">
        <f t="shared" si="18"/>
        <v>2894828.3801151472</v>
      </c>
      <c r="BX35" s="7">
        <f t="shared" ref="BX35:CE35" si="19">SUM(BX36:BX40)</f>
        <v>2538666.8459149473</v>
      </c>
      <c r="BY35" s="7">
        <f t="shared" si="19"/>
        <v>2182505.311714747</v>
      </c>
      <c r="BZ35" s="7">
        <f t="shared" si="19"/>
        <v>1826343.7775145471</v>
      </c>
      <c r="CA35" s="7">
        <f t="shared" si="19"/>
        <v>1470182.243314347</v>
      </c>
      <c r="CB35" s="7">
        <f t="shared" si="19"/>
        <v>1114020.7091141471</v>
      </c>
      <c r="CC35" s="7">
        <f t="shared" si="19"/>
        <v>757859.174913947</v>
      </c>
      <c r="CD35" s="7">
        <f t="shared" si="19"/>
        <v>401697.64071374707</v>
      </c>
      <c r="CE35" s="7">
        <f t="shared" si="19"/>
        <v>45536.106513547049</v>
      </c>
    </row>
    <row r="36" spans="3:83">
      <c r="C36" s="4" t="str">
        <f>IF(условия!$E$9=1,условия!$C$9,IF(условия!$E$10=1,условия!$C$10,IF(условия!$E$11=1,условия!$C$11,"")))</f>
        <v>ОСНО</v>
      </c>
      <c r="E36" s="4" t="s">
        <v>27</v>
      </c>
      <c r="F36" s="4" t="s">
        <v>121</v>
      </c>
      <c r="G36" s="33" t="s">
        <v>61</v>
      </c>
      <c r="H36" s="63">
        <v>0.05</v>
      </c>
      <c r="I36" s="8" t="s">
        <v>28</v>
      </c>
      <c r="J36" s="43">
        <f>SUM($K36:$CF36)</f>
        <v>127177250.00000003</v>
      </c>
      <c r="L36" s="6">
        <f t="shared" ref="L36:AQ36" si="20">L25*$H$36</f>
        <v>0</v>
      </c>
      <c r="M36" s="6">
        <f t="shared" si="20"/>
        <v>0</v>
      </c>
      <c r="N36" s="6">
        <f t="shared" si="20"/>
        <v>0</v>
      </c>
      <c r="O36" s="6">
        <f t="shared" si="20"/>
        <v>0</v>
      </c>
      <c r="P36" s="6">
        <f t="shared" si="20"/>
        <v>0</v>
      </c>
      <c r="Q36" s="6">
        <f t="shared" si="20"/>
        <v>0</v>
      </c>
      <c r="R36" s="6">
        <f t="shared" si="20"/>
        <v>0</v>
      </c>
      <c r="S36" s="6">
        <f t="shared" si="20"/>
        <v>0</v>
      </c>
      <c r="T36" s="6">
        <f t="shared" si="20"/>
        <v>0</v>
      </c>
      <c r="U36" s="6">
        <f t="shared" si="20"/>
        <v>0</v>
      </c>
      <c r="V36" s="6">
        <f t="shared" si="20"/>
        <v>0</v>
      </c>
      <c r="W36" s="6">
        <f t="shared" si="20"/>
        <v>0</v>
      </c>
      <c r="X36" s="6">
        <f t="shared" si="20"/>
        <v>0</v>
      </c>
      <c r="Y36" s="6">
        <f t="shared" si="20"/>
        <v>0</v>
      </c>
      <c r="Z36" s="6">
        <f t="shared" si="20"/>
        <v>0</v>
      </c>
      <c r="AA36" s="6">
        <f t="shared" si="20"/>
        <v>0</v>
      </c>
      <c r="AB36" s="6">
        <f t="shared" si="20"/>
        <v>0</v>
      </c>
      <c r="AC36" s="6">
        <f t="shared" si="20"/>
        <v>0</v>
      </c>
      <c r="AD36" s="6">
        <f t="shared" si="20"/>
        <v>0</v>
      </c>
      <c r="AE36" s="6">
        <f t="shared" si="20"/>
        <v>0</v>
      </c>
      <c r="AF36" s="6">
        <f t="shared" si="20"/>
        <v>0</v>
      </c>
      <c r="AG36" s="6">
        <f t="shared" si="20"/>
        <v>0</v>
      </c>
      <c r="AH36" s="6">
        <f t="shared" si="20"/>
        <v>0</v>
      </c>
      <c r="AI36" s="6">
        <f t="shared" si="20"/>
        <v>0</v>
      </c>
      <c r="AJ36" s="6">
        <f t="shared" si="20"/>
        <v>0</v>
      </c>
      <c r="AK36" s="6">
        <f t="shared" si="20"/>
        <v>249577.56916996051</v>
      </c>
      <c r="AL36" s="6">
        <f t="shared" si="20"/>
        <v>499155.13833992102</v>
      </c>
      <c r="AM36" s="6">
        <f t="shared" si="20"/>
        <v>748732.70750988147</v>
      </c>
      <c r="AN36" s="6">
        <f t="shared" si="20"/>
        <v>998310.27667984203</v>
      </c>
      <c r="AO36" s="6">
        <f t="shared" si="20"/>
        <v>1247887.8458498025</v>
      </c>
      <c r="AP36" s="6">
        <f t="shared" si="20"/>
        <v>1497465.4150197629</v>
      </c>
      <c r="AQ36" s="6">
        <f t="shared" si="20"/>
        <v>1747042.9841897236</v>
      </c>
      <c r="AR36" s="6">
        <f t="shared" ref="AR36:BW36" si="21">AR25*$H$36</f>
        <v>1996620.5533596841</v>
      </c>
      <c r="AS36" s="6">
        <f t="shared" si="21"/>
        <v>2246198.1225296441</v>
      </c>
      <c r="AT36" s="6">
        <f t="shared" si="21"/>
        <v>2495775.691699605</v>
      </c>
      <c r="AU36" s="6">
        <f t="shared" si="21"/>
        <v>2745353.260869565</v>
      </c>
      <c r="AV36" s="6">
        <f t="shared" si="21"/>
        <v>2994930.8300395259</v>
      </c>
      <c r="AW36" s="6">
        <f t="shared" si="21"/>
        <v>3244508.3992094868</v>
      </c>
      <c r="AX36" s="6">
        <f t="shared" si="21"/>
        <v>3494085.9683794472</v>
      </c>
      <c r="AY36" s="6">
        <f t="shared" si="21"/>
        <v>3770663.5375494072</v>
      </c>
      <c r="AZ36" s="6">
        <f t="shared" si="21"/>
        <v>4020241.1067193681</v>
      </c>
      <c r="BA36" s="6">
        <f t="shared" si="21"/>
        <v>4269818.6758893281</v>
      </c>
      <c r="BB36" s="6">
        <f t="shared" si="21"/>
        <v>4519396.2450592881</v>
      </c>
      <c r="BC36" s="6">
        <f t="shared" si="21"/>
        <v>4768973.814229249</v>
      </c>
      <c r="BD36" s="6">
        <f t="shared" si="21"/>
        <v>5018551.3833992099</v>
      </c>
      <c r="BE36" s="6">
        <f t="shared" si="21"/>
        <v>5268128.9525691709</v>
      </c>
      <c r="BF36" s="6">
        <f t="shared" si="21"/>
        <v>5306525.5016722409</v>
      </c>
      <c r="BG36" s="6">
        <f t="shared" si="21"/>
        <v>5095344.481605351</v>
      </c>
      <c r="BH36" s="6">
        <f t="shared" si="21"/>
        <v>4884163.461538461</v>
      </c>
      <c r="BI36" s="6">
        <f t="shared" si="21"/>
        <v>4672982.441471572</v>
      </c>
      <c r="BJ36" s="6">
        <f t="shared" si="21"/>
        <v>4461801.4214046821</v>
      </c>
      <c r="BK36" s="6">
        <f t="shared" si="21"/>
        <v>4250620.4013377931</v>
      </c>
      <c r="BL36" s="6">
        <f t="shared" si="21"/>
        <v>4039439.3812709027</v>
      </c>
      <c r="BM36" s="6">
        <f t="shared" si="21"/>
        <v>3828258.3612040132</v>
      </c>
      <c r="BN36" s="6">
        <f t="shared" si="21"/>
        <v>3617077.3411371242</v>
      </c>
      <c r="BO36" s="6">
        <f t="shared" si="21"/>
        <v>3405896.3210702338</v>
      </c>
      <c r="BP36" s="6">
        <f t="shared" si="21"/>
        <v>3194715.3010033444</v>
      </c>
      <c r="BQ36" s="6">
        <f t="shared" si="21"/>
        <v>2983534.2809364549</v>
      </c>
      <c r="BR36" s="6">
        <f t="shared" si="21"/>
        <v>2772353.260869565</v>
      </c>
      <c r="BS36" s="6">
        <f t="shared" si="21"/>
        <v>2561172.2408026755</v>
      </c>
      <c r="BT36" s="6">
        <f t="shared" si="21"/>
        <v>2349991.220735786</v>
      </c>
      <c r="BU36" s="6">
        <f t="shared" si="21"/>
        <v>2138810.2006688965</v>
      </c>
      <c r="BV36" s="6">
        <f t="shared" si="21"/>
        <v>1927629.1806020066</v>
      </c>
      <c r="BW36" s="6">
        <f t="shared" si="21"/>
        <v>1716448.1605351169</v>
      </c>
      <c r="BX36" s="6">
        <f t="shared" ref="BX36:CE36" si="22">BX25*$H$36</f>
        <v>1505267.1404682274</v>
      </c>
      <c r="BY36" s="6">
        <f t="shared" si="22"/>
        <v>1294086.1204013377</v>
      </c>
      <c r="BZ36" s="6">
        <f t="shared" si="22"/>
        <v>1082905.1003344483</v>
      </c>
      <c r="CA36" s="6">
        <f t="shared" si="22"/>
        <v>871724.08026755846</v>
      </c>
      <c r="CB36" s="6">
        <f t="shared" si="22"/>
        <v>660543.06020066887</v>
      </c>
      <c r="CC36" s="6">
        <f t="shared" si="22"/>
        <v>449362.04013377923</v>
      </c>
      <c r="CD36" s="6">
        <f t="shared" si="22"/>
        <v>238181.02006688967</v>
      </c>
      <c r="CE36" s="6">
        <f t="shared" si="22"/>
        <v>27000.000000000007</v>
      </c>
    </row>
    <row r="37" spans="3:83">
      <c r="C37" s="4" t="str">
        <f>IF(условия!$E$9=1,условия!$C$9,IF(условия!$E$10=1,условия!$C$10,IF(условия!$E$11=1,условия!$C$11,"")))</f>
        <v>ОСНО</v>
      </c>
      <c r="E37" s="4" t="s">
        <v>6</v>
      </c>
      <c r="F37" s="4" t="s">
        <v>122</v>
      </c>
      <c r="G37" s="33" t="s">
        <v>61</v>
      </c>
      <c r="H37" s="63">
        <v>3.3E-3</v>
      </c>
      <c r="I37" s="8" t="s">
        <v>28</v>
      </c>
      <c r="J37" s="43">
        <f>SUM($K37:$CF37)</f>
        <v>5916598.9666666659</v>
      </c>
      <c r="L37" s="6">
        <f t="shared" ref="L37:AQ37" si="23">L31*$H$37</f>
        <v>0</v>
      </c>
      <c r="M37" s="6">
        <f t="shared" si="23"/>
        <v>0</v>
      </c>
      <c r="N37" s="6">
        <f t="shared" si="23"/>
        <v>0</v>
      </c>
      <c r="O37" s="6">
        <f t="shared" si="23"/>
        <v>0</v>
      </c>
      <c r="P37" s="6">
        <f t="shared" si="23"/>
        <v>0</v>
      </c>
      <c r="Q37" s="6">
        <f t="shared" si="23"/>
        <v>0</v>
      </c>
      <c r="R37" s="6">
        <f t="shared" si="23"/>
        <v>0</v>
      </c>
      <c r="S37" s="6">
        <f t="shared" si="23"/>
        <v>0</v>
      </c>
      <c r="T37" s="6">
        <f t="shared" si="23"/>
        <v>0</v>
      </c>
      <c r="U37" s="6">
        <f t="shared" si="23"/>
        <v>0</v>
      </c>
      <c r="V37" s="6">
        <f t="shared" si="23"/>
        <v>0</v>
      </c>
      <c r="W37" s="6">
        <f t="shared" si="23"/>
        <v>0</v>
      </c>
      <c r="X37" s="6">
        <f t="shared" si="23"/>
        <v>0</v>
      </c>
      <c r="Y37" s="6">
        <f t="shared" si="23"/>
        <v>0</v>
      </c>
      <c r="Z37" s="6">
        <f t="shared" si="23"/>
        <v>0</v>
      </c>
      <c r="AA37" s="6">
        <f t="shared" si="23"/>
        <v>0</v>
      </c>
      <c r="AB37" s="6">
        <f t="shared" si="23"/>
        <v>0</v>
      </c>
      <c r="AC37" s="6">
        <f t="shared" si="23"/>
        <v>0</v>
      </c>
      <c r="AD37" s="6">
        <f t="shared" si="23"/>
        <v>0</v>
      </c>
      <c r="AE37" s="6">
        <f t="shared" si="23"/>
        <v>0</v>
      </c>
      <c r="AF37" s="6">
        <f t="shared" si="23"/>
        <v>0</v>
      </c>
      <c r="AG37" s="6">
        <f t="shared" si="23"/>
        <v>0</v>
      </c>
      <c r="AH37" s="6">
        <f t="shared" si="23"/>
        <v>0</v>
      </c>
      <c r="AI37" s="6">
        <f t="shared" si="23"/>
        <v>0</v>
      </c>
      <c r="AJ37" s="6">
        <f t="shared" si="23"/>
        <v>0</v>
      </c>
      <c r="AK37" s="6">
        <f t="shared" si="23"/>
        <v>11610.963343319396</v>
      </c>
      <c r="AL37" s="6">
        <f t="shared" si="23"/>
        <v>23221.926686638792</v>
      </c>
      <c r="AM37" s="6">
        <f t="shared" si="23"/>
        <v>34832.890029958187</v>
      </c>
      <c r="AN37" s="6">
        <f t="shared" si="23"/>
        <v>46443.853373277583</v>
      </c>
      <c r="AO37" s="6">
        <f t="shared" si="23"/>
        <v>58054.816716596972</v>
      </c>
      <c r="AP37" s="6">
        <f t="shared" si="23"/>
        <v>69665.780059916375</v>
      </c>
      <c r="AQ37" s="6">
        <f t="shared" si="23"/>
        <v>81276.743403235785</v>
      </c>
      <c r="AR37" s="6">
        <f t="shared" ref="AR37:BW37" si="24">AR31*$H$37</f>
        <v>92887.706746555166</v>
      </c>
      <c r="AS37" s="6">
        <f t="shared" si="24"/>
        <v>104498.67008987456</v>
      </c>
      <c r="AT37" s="6">
        <f t="shared" si="24"/>
        <v>116109.63343319394</v>
      </c>
      <c r="AU37" s="6">
        <f t="shared" si="24"/>
        <v>127720.59677651334</v>
      </c>
      <c r="AV37" s="6">
        <f t="shared" si="24"/>
        <v>139331.56011983275</v>
      </c>
      <c r="AW37" s="6">
        <f t="shared" si="24"/>
        <v>150942.52346315217</v>
      </c>
      <c r="AX37" s="6">
        <f t="shared" si="24"/>
        <v>162553.48680647157</v>
      </c>
      <c r="AY37" s="6">
        <f t="shared" si="24"/>
        <v>175420.55666333798</v>
      </c>
      <c r="AZ37" s="6">
        <f t="shared" si="24"/>
        <v>187031.52000665737</v>
      </c>
      <c r="BA37" s="6">
        <f t="shared" si="24"/>
        <v>198642.48334997677</v>
      </c>
      <c r="BB37" s="6">
        <f t="shared" si="24"/>
        <v>210253.44669329614</v>
      </c>
      <c r="BC37" s="6">
        <f t="shared" si="24"/>
        <v>221864.41003661556</v>
      </c>
      <c r="BD37" s="6">
        <f t="shared" si="24"/>
        <v>233475.37337993493</v>
      </c>
      <c r="BE37" s="6">
        <f t="shared" si="24"/>
        <v>245086.33672325435</v>
      </c>
      <c r="BF37" s="6">
        <f t="shared" si="24"/>
        <v>246872.63877607271</v>
      </c>
      <c r="BG37" s="6">
        <f t="shared" si="24"/>
        <v>237047.97748557161</v>
      </c>
      <c r="BH37" s="6">
        <f t="shared" si="24"/>
        <v>227223.3161950706</v>
      </c>
      <c r="BI37" s="6">
        <f t="shared" si="24"/>
        <v>217398.65490456964</v>
      </c>
      <c r="BJ37" s="6">
        <f t="shared" si="24"/>
        <v>207573.99361406857</v>
      </c>
      <c r="BK37" s="6">
        <f t="shared" si="24"/>
        <v>197749.33232356756</v>
      </c>
      <c r="BL37" s="6">
        <f t="shared" si="24"/>
        <v>187924.67103306655</v>
      </c>
      <c r="BM37" s="6">
        <f t="shared" si="24"/>
        <v>178100.00974256551</v>
      </c>
      <c r="BN37" s="6">
        <f t="shared" si="24"/>
        <v>168275.3484520645</v>
      </c>
      <c r="BO37" s="6">
        <f t="shared" si="24"/>
        <v>158450.68716156346</v>
      </c>
      <c r="BP37" s="6">
        <f t="shared" si="24"/>
        <v>148626.02587106242</v>
      </c>
      <c r="BQ37" s="6">
        <f t="shared" si="24"/>
        <v>138801.36458056141</v>
      </c>
      <c r="BR37" s="6">
        <f t="shared" si="24"/>
        <v>128976.70329006037</v>
      </c>
      <c r="BS37" s="6">
        <f t="shared" si="24"/>
        <v>119152.04199955931</v>
      </c>
      <c r="BT37" s="6">
        <f t="shared" si="24"/>
        <v>109327.38070905836</v>
      </c>
      <c r="BU37" s="6">
        <f t="shared" si="24"/>
        <v>99502.719418557303</v>
      </c>
      <c r="BV37" s="6">
        <f t="shared" si="24"/>
        <v>89678.058128056276</v>
      </c>
      <c r="BW37" s="6">
        <f t="shared" si="24"/>
        <v>79853.39683755525</v>
      </c>
      <c r="BX37" s="6">
        <f t="shared" ref="BX37:CE37" si="25">BX31*$H$37</f>
        <v>70028.73554705421</v>
      </c>
      <c r="BY37" s="6">
        <f t="shared" si="25"/>
        <v>60204.074256553184</v>
      </c>
      <c r="BZ37" s="6">
        <f t="shared" si="25"/>
        <v>50379.412966052172</v>
      </c>
      <c r="CA37" s="6">
        <f t="shared" si="25"/>
        <v>40554.751675551139</v>
      </c>
      <c r="CB37" s="6">
        <f t="shared" si="25"/>
        <v>30730.090385050109</v>
      </c>
      <c r="CC37" s="6">
        <f t="shared" si="25"/>
        <v>20905.429094549087</v>
      </c>
      <c r="CD37" s="6">
        <f t="shared" si="25"/>
        <v>11080.767804048066</v>
      </c>
      <c r="CE37" s="6">
        <f t="shared" si="25"/>
        <v>1256.1065135470378</v>
      </c>
    </row>
    <row r="38" spans="3:83">
      <c r="C38" s="4" t="str">
        <f>IF(условия!$E$9=1,условия!$C$9,IF(условия!$E$10=1,условия!$C$10,IF(условия!$E$11=1,условия!$C$11,"")))</f>
        <v>ОСНО</v>
      </c>
      <c r="E38" s="4" t="s">
        <v>29</v>
      </c>
      <c r="F38" s="4" t="s">
        <v>121</v>
      </c>
      <c r="G38" s="33" t="s">
        <v>61</v>
      </c>
      <c r="H38" s="63">
        <v>1.2E-2</v>
      </c>
      <c r="I38" s="8" t="s">
        <v>28</v>
      </c>
      <c r="J38" s="43">
        <f>SUM($K38:$CF38)</f>
        <v>30522540</v>
      </c>
      <c r="L38" s="6">
        <f t="shared" ref="L38:AQ38" si="26">L25*$H$38</f>
        <v>0</v>
      </c>
      <c r="M38" s="6">
        <f t="shared" si="26"/>
        <v>0</v>
      </c>
      <c r="N38" s="6">
        <f t="shared" si="26"/>
        <v>0</v>
      </c>
      <c r="O38" s="6">
        <f t="shared" si="26"/>
        <v>0</v>
      </c>
      <c r="P38" s="6">
        <f t="shared" si="26"/>
        <v>0</v>
      </c>
      <c r="Q38" s="6">
        <f t="shared" si="26"/>
        <v>0</v>
      </c>
      <c r="R38" s="6">
        <f t="shared" si="26"/>
        <v>0</v>
      </c>
      <c r="S38" s="6">
        <f t="shared" si="26"/>
        <v>0</v>
      </c>
      <c r="T38" s="6">
        <f t="shared" si="26"/>
        <v>0</v>
      </c>
      <c r="U38" s="6">
        <f t="shared" si="26"/>
        <v>0</v>
      </c>
      <c r="V38" s="6">
        <f t="shared" si="26"/>
        <v>0</v>
      </c>
      <c r="W38" s="6">
        <f t="shared" si="26"/>
        <v>0</v>
      </c>
      <c r="X38" s="6">
        <f t="shared" si="26"/>
        <v>0</v>
      </c>
      <c r="Y38" s="6">
        <f t="shared" si="26"/>
        <v>0</v>
      </c>
      <c r="Z38" s="6">
        <f t="shared" si="26"/>
        <v>0</v>
      </c>
      <c r="AA38" s="6">
        <f t="shared" si="26"/>
        <v>0</v>
      </c>
      <c r="AB38" s="6">
        <f t="shared" si="26"/>
        <v>0</v>
      </c>
      <c r="AC38" s="6">
        <f t="shared" si="26"/>
        <v>0</v>
      </c>
      <c r="AD38" s="6">
        <f t="shared" si="26"/>
        <v>0</v>
      </c>
      <c r="AE38" s="6">
        <f t="shared" si="26"/>
        <v>0</v>
      </c>
      <c r="AF38" s="6">
        <f t="shared" si="26"/>
        <v>0</v>
      </c>
      <c r="AG38" s="6">
        <f t="shared" si="26"/>
        <v>0</v>
      </c>
      <c r="AH38" s="6">
        <f t="shared" si="26"/>
        <v>0</v>
      </c>
      <c r="AI38" s="6">
        <f t="shared" si="26"/>
        <v>0</v>
      </c>
      <c r="AJ38" s="6">
        <f t="shared" si="26"/>
        <v>0</v>
      </c>
      <c r="AK38" s="6">
        <f t="shared" si="26"/>
        <v>59898.616600790519</v>
      </c>
      <c r="AL38" s="6">
        <f t="shared" si="26"/>
        <v>119797.23320158104</v>
      </c>
      <c r="AM38" s="6">
        <f t="shared" si="26"/>
        <v>179695.84980237155</v>
      </c>
      <c r="AN38" s="6">
        <f t="shared" si="26"/>
        <v>239594.46640316208</v>
      </c>
      <c r="AO38" s="6">
        <f t="shared" si="26"/>
        <v>299493.08300395258</v>
      </c>
      <c r="AP38" s="6">
        <f t="shared" si="26"/>
        <v>359391.6996047431</v>
      </c>
      <c r="AQ38" s="6">
        <f t="shared" si="26"/>
        <v>419290.31620553363</v>
      </c>
      <c r="AR38" s="6">
        <f t="shared" ref="AR38:BW38" si="27">AR25*$H$38</f>
        <v>479188.93280632416</v>
      </c>
      <c r="AS38" s="6">
        <f t="shared" si="27"/>
        <v>539087.54940711462</v>
      </c>
      <c r="AT38" s="6">
        <f t="shared" si="27"/>
        <v>598986.16600790515</v>
      </c>
      <c r="AU38" s="6">
        <f t="shared" si="27"/>
        <v>658884.78260869556</v>
      </c>
      <c r="AV38" s="6">
        <f t="shared" si="27"/>
        <v>718783.3992094862</v>
      </c>
      <c r="AW38" s="6">
        <f t="shared" si="27"/>
        <v>778682.01581027685</v>
      </c>
      <c r="AX38" s="6">
        <f t="shared" si="27"/>
        <v>838580.63241106726</v>
      </c>
      <c r="AY38" s="6">
        <f t="shared" si="27"/>
        <v>904959.24901185767</v>
      </c>
      <c r="AZ38" s="6">
        <f t="shared" si="27"/>
        <v>964857.86561264831</v>
      </c>
      <c r="BA38" s="6">
        <f t="shared" si="27"/>
        <v>1024756.4822134387</v>
      </c>
      <c r="BB38" s="6">
        <f t="shared" si="27"/>
        <v>1084655.0988142292</v>
      </c>
      <c r="BC38" s="6">
        <f t="shared" si="27"/>
        <v>1144553.7154150198</v>
      </c>
      <c r="BD38" s="6">
        <f t="shared" si="27"/>
        <v>1204452.3320158103</v>
      </c>
      <c r="BE38" s="6">
        <f t="shared" si="27"/>
        <v>1264350.9486166008</v>
      </c>
      <c r="BF38" s="6">
        <f t="shared" si="27"/>
        <v>1273566.1204013377</v>
      </c>
      <c r="BG38" s="6">
        <f t="shared" si="27"/>
        <v>1222882.6755852841</v>
      </c>
      <c r="BH38" s="6">
        <f t="shared" si="27"/>
        <v>1172199.2307692305</v>
      </c>
      <c r="BI38" s="6">
        <f t="shared" si="27"/>
        <v>1121515.7859531774</v>
      </c>
      <c r="BJ38" s="6">
        <f t="shared" si="27"/>
        <v>1070832.3411371238</v>
      </c>
      <c r="BK38" s="6">
        <f t="shared" si="27"/>
        <v>1020148.8963210703</v>
      </c>
      <c r="BL38" s="6">
        <f t="shared" si="27"/>
        <v>969465.45150501665</v>
      </c>
      <c r="BM38" s="6">
        <f t="shared" si="27"/>
        <v>918782.00668896316</v>
      </c>
      <c r="BN38" s="6">
        <f t="shared" si="27"/>
        <v>868098.56187290978</v>
      </c>
      <c r="BO38" s="6">
        <f t="shared" si="27"/>
        <v>817415.11705685616</v>
      </c>
      <c r="BP38" s="6">
        <f t="shared" si="27"/>
        <v>766731.67224080255</v>
      </c>
      <c r="BQ38" s="6">
        <f t="shared" si="27"/>
        <v>716048.22742474917</v>
      </c>
      <c r="BR38" s="6">
        <f t="shared" si="27"/>
        <v>665364.78260869556</v>
      </c>
      <c r="BS38" s="6">
        <f t="shared" si="27"/>
        <v>614681.33779264207</v>
      </c>
      <c r="BT38" s="6">
        <f t="shared" si="27"/>
        <v>563997.89297658869</v>
      </c>
      <c r="BU38" s="6">
        <f t="shared" si="27"/>
        <v>513314.44816053513</v>
      </c>
      <c r="BV38" s="6">
        <f t="shared" si="27"/>
        <v>462631.00334448158</v>
      </c>
      <c r="BW38" s="6">
        <f t="shared" si="27"/>
        <v>411947.55852842808</v>
      </c>
      <c r="BX38" s="6">
        <f t="shared" ref="BX38:CE38" si="28">BX25*$H$38</f>
        <v>361264.11371237459</v>
      </c>
      <c r="BY38" s="6">
        <f t="shared" si="28"/>
        <v>310580.66889632103</v>
      </c>
      <c r="BZ38" s="6">
        <f t="shared" si="28"/>
        <v>259897.22408026757</v>
      </c>
      <c r="CA38" s="6">
        <f t="shared" si="28"/>
        <v>209213.77926421404</v>
      </c>
      <c r="CB38" s="6">
        <f t="shared" si="28"/>
        <v>158530.33444816052</v>
      </c>
      <c r="CC38" s="6">
        <f t="shared" si="28"/>
        <v>107846.88963210702</v>
      </c>
      <c r="CD38" s="6">
        <f t="shared" si="28"/>
        <v>57163.444816053518</v>
      </c>
      <c r="CE38" s="6">
        <f t="shared" si="28"/>
        <v>6480.0000000000018</v>
      </c>
    </row>
    <row r="39" spans="3:83">
      <c r="C39" s="4" t="str">
        <f>IF(условия!$E$9=1,условия!$C$9,IF(условия!$E$10=1,условия!$C$10,IF(условия!$E$11=1,условия!$C$11,"")))</f>
        <v>ОСНО</v>
      </c>
      <c r="E39" s="4" t="s">
        <v>5</v>
      </c>
      <c r="F39" s="4" t="s">
        <v>121</v>
      </c>
      <c r="H39" s="64">
        <f>условия!$E$62</f>
        <v>0.02</v>
      </c>
      <c r="I39" s="8" t="s">
        <v>28</v>
      </c>
      <c r="J39" s="43">
        <f>SUM($K39:$CF39)</f>
        <v>50870900</v>
      </c>
      <c r="L39" s="6">
        <f t="shared" ref="L39:AQ39" si="29">L25*$H$39</f>
        <v>0</v>
      </c>
      <c r="M39" s="6">
        <f t="shared" si="29"/>
        <v>0</v>
      </c>
      <c r="N39" s="6">
        <f t="shared" si="29"/>
        <v>0</v>
      </c>
      <c r="O39" s="6">
        <f t="shared" si="29"/>
        <v>0</v>
      </c>
      <c r="P39" s="6">
        <f t="shared" si="29"/>
        <v>0</v>
      </c>
      <c r="Q39" s="6">
        <f t="shared" si="29"/>
        <v>0</v>
      </c>
      <c r="R39" s="6">
        <f t="shared" si="29"/>
        <v>0</v>
      </c>
      <c r="S39" s="6">
        <f t="shared" si="29"/>
        <v>0</v>
      </c>
      <c r="T39" s="6">
        <f t="shared" si="29"/>
        <v>0</v>
      </c>
      <c r="U39" s="6">
        <f t="shared" si="29"/>
        <v>0</v>
      </c>
      <c r="V39" s="6">
        <f t="shared" si="29"/>
        <v>0</v>
      </c>
      <c r="W39" s="6">
        <f t="shared" si="29"/>
        <v>0</v>
      </c>
      <c r="X39" s="6">
        <f t="shared" si="29"/>
        <v>0</v>
      </c>
      <c r="Y39" s="6">
        <f t="shared" si="29"/>
        <v>0</v>
      </c>
      <c r="Z39" s="6">
        <f t="shared" si="29"/>
        <v>0</v>
      </c>
      <c r="AA39" s="6">
        <f t="shared" si="29"/>
        <v>0</v>
      </c>
      <c r="AB39" s="6">
        <f t="shared" si="29"/>
        <v>0</v>
      </c>
      <c r="AC39" s="6">
        <f t="shared" si="29"/>
        <v>0</v>
      </c>
      <c r="AD39" s="6">
        <f t="shared" si="29"/>
        <v>0</v>
      </c>
      <c r="AE39" s="6">
        <f t="shared" si="29"/>
        <v>0</v>
      </c>
      <c r="AF39" s="6">
        <f t="shared" si="29"/>
        <v>0</v>
      </c>
      <c r="AG39" s="6">
        <f t="shared" si="29"/>
        <v>0</v>
      </c>
      <c r="AH39" s="6">
        <f t="shared" si="29"/>
        <v>0</v>
      </c>
      <c r="AI39" s="6">
        <f t="shared" si="29"/>
        <v>0</v>
      </c>
      <c r="AJ39" s="6">
        <f t="shared" si="29"/>
        <v>0</v>
      </c>
      <c r="AK39" s="6">
        <f t="shared" si="29"/>
        <v>99831.027667984206</v>
      </c>
      <c r="AL39" s="6">
        <f t="shared" si="29"/>
        <v>199662.05533596841</v>
      </c>
      <c r="AM39" s="6">
        <f t="shared" si="29"/>
        <v>299493.08300395258</v>
      </c>
      <c r="AN39" s="6">
        <f t="shared" si="29"/>
        <v>399324.11067193683</v>
      </c>
      <c r="AO39" s="6">
        <f t="shared" si="29"/>
        <v>499155.13833992096</v>
      </c>
      <c r="AP39" s="6">
        <f t="shared" si="29"/>
        <v>598986.16600790515</v>
      </c>
      <c r="AQ39" s="6">
        <f t="shared" si="29"/>
        <v>698817.1936758894</v>
      </c>
      <c r="AR39" s="6">
        <f t="shared" ref="AR39:BW39" si="30">AR25*$H$39</f>
        <v>798648.22134387365</v>
      </c>
      <c r="AS39" s="6">
        <f t="shared" si="30"/>
        <v>898479.24901185767</v>
      </c>
      <c r="AT39" s="6">
        <f t="shared" si="30"/>
        <v>998310.27667984192</v>
      </c>
      <c r="AU39" s="6">
        <f t="shared" si="30"/>
        <v>1098141.3043478259</v>
      </c>
      <c r="AV39" s="6">
        <f t="shared" si="30"/>
        <v>1197972.3320158103</v>
      </c>
      <c r="AW39" s="6">
        <f t="shared" si="30"/>
        <v>1297803.3596837947</v>
      </c>
      <c r="AX39" s="6">
        <f t="shared" si="30"/>
        <v>1397634.3873517788</v>
      </c>
      <c r="AY39" s="6">
        <f t="shared" si="30"/>
        <v>1508265.4150197629</v>
      </c>
      <c r="AZ39" s="6">
        <f t="shared" si="30"/>
        <v>1608096.4426877473</v>
      </c>
      <c r="BA39" s="6">
        <f t="shared" si="30"/>
        <v>1707927.4703557312</v>
      </c>
      <c r="BB39" s="6">
        <f t="shared" si="30"/>
        <v>1807758.4980237153</v>
      </c>
      <c r="BC39" s="6">
        <f t="shared" si="30"/>
        <v>1907589.5256916997</v>
      </c>
      <c r="BD39" s="6">
        <f t="shared" si="30"/>
        <v>2007420.5533596838</v>
      </c>
      <c r="BE39" s="6">
        <f t="shared" si="30"/>
        <v>2107251.581027668</v>
      </c>
      <c r="BF39" s="6">
        <f t="shared" si="30"/>
        <v>2122610.2006688961</v>
      </c>
      <c r="BG39" s="6">
        <f t="shared" si="30"/>
        <v>2038137.7926421401</v>
      </c>
      <c r="BH39" s="6">
        <f t="shared" si="30"/>
        <v>1953665.3846153843</v>
      </c>
      <c r="BI39" s="6">
        <f t="shared" si="30"/>
        <v>1869192.976588629</v>
      </c>
      <c r="BJ39" s="6">
        <f t="shared" si="30"/>
        <v>1784720.5685618729</v>
      </c>
      <c r="BK39" s="6">
        <f t="shared" si="30"/>
        <v>1700248.1605351171</v>
      </c>
      <c r="BL39" s="6">
        <f t="shared" si="30"/>
        <v>1615775.7525083611</v>
      </c>
      <c r="BM39" s="6">
        <f t="shared" si="30"/>
        <v>1531303.3444816053</v>
      </c>
      <c r="BN39" s="6">
        <f t="shared" si="30"/>
        <v>1446830.9364548496</v>
      </c>
      <c r="BO39" s="6">
        <f t="shared" si="30"/>
        <v>1362358.5284280935</v>
      </c>
      <c r="BP39" s="6">
        <f t="shared" si="30"/>
        <v>1277886.1204013375</v>
      </c>
      <c r="BQ39" s="6">
        <f t="shared" si="30"/>
        <v>1193413.712374582</v>
      </c>
      <c r="BR39" s="6">
        <f t="shared" si="30"/>
        <v>1108941.3043478259</v>
      </c>
      <c r="BS39" s="6">
        <f t="shared" si="30"/>
        <v>1024468.89632107</v>
      </c>
      <c r="BT39" s="6">
        <f t="shared" si="30"/>
        <v>939996.48829431448</v>
      </c>
      <c r="BU39" s="6">
        <f t="shared" si="30"/>
        <v>855524.08026755857</v>
      </c>
      <c r="BV39" s="6">
        <f t="shared" si="30"/>
        <v>771051.67224080267</v>
      </c>
      <c r="BW39" s="6">
        <f t="shared" si="30"/>
        <v>686579.26421404677</v>
      </c>
      <c r="BX39" s="6">
        <f t="shared" ref="BX39:CE39" si="31">BX25*$H$39</f>
        <v>602106.85618729098</v>
      </c>
      <c r="BY39" s="6">
        <f t="shared" si="31"/>
        <v>517634.44816053502</v>
      </c>
      <c r="BZ39" s="6">
        <f t="shared" si="31"/>
        <v>433162.04013377929</v>
      </c>
      <c r="CA39" s="6">
        <f t="shared" si="31"/>
        <v>348689.63210702338</v>
      </c>
      <c r="CB39" s="6">
        <f t="shared" si="31"/>
        <v>264217.22408026754</v>
      </c>
      <c r="CC39" s="6">
        <f t="shared" si="31"/>
        <v>179744.81605351169</v>
      </c>
      <c r="CD39" s="6">
        <f t="shared" si="31"/>
        <v>95272.40802675586</v>
      </c>
      <c r="CE39" s="6">
        <f t="shared" si="31"/>
        <v>10800.000000000002</v>
      </c>
    </row>
    <row r="40" spans="3:83">
      <c r="C40" s="4" t="str">
        <f>IF(условия!$E$9=1,условия!$C$9,IF(условия!$E$10=1,условия!$C$10,IF(условия!$E$11=1,условия!$C$11,"")))</f>
        <v>ОСНО</v>
      </c>
    </row>
    <row r="41" spans="3:83" s="3" customFormat="1">
      <c r="C41" s="3" t="str">
        <f>IF(условия!$E$9=1,условия!$C$9,IF(условия!$E$10=1,условия!$C$10,IF(условия!$E$11=1,условия!$C$11,"")))</f>
        <v>ОСНО</v>
      </c>
      <c r="E41" s="3" t="s">
        <v>43</v>
      </c>
      <c r="F41" s="4"/>
      <c r="G41" s="33"/>
      <c r="H41" s="10"/>
      <c r="I41" s="9" t="s">
        <v>28</v>
      </c>
      <c r="J41" s="43">
        <f>SUM($K41:$CF41)</f>
        <v>13446815.833333332</v>
      </c>
      <c r="K41" s="69"/>
      <c r="L41" s="7">
        <f>L55</f>
        <v>0</v>
      </c>
      <c r="M41" s="7">
        <f t="shared" ref="M41:BX41" si="32">M55</f>
        <v>0</v>
      </c>
      <c r="N41" s="7">
        <f t="shared" si="32"/>
        <v>0</v>
      </c>
      <c r="O41" s="7">
        <f t="shared" si="32"/>
        <v>0</v>
      </c>
      <c r="P41" s="7">
        <f t="shared" si="32"/>
        <v>0</v>
      </c>
      <c r="Q41" s="7">
        <f t="shared" si="32"/>
        <v>0</v>
      </c>
      <c r="R41" s="7">
        <f t="shared" si="32"/>
        <v>0</v>
      </c>
      <c r="S41" s="7">
        <f t="shared" si="32"/>
        <v>0</v>
      </c>
      <c r="T41" s="7">
        <f t="shared" si="32"/>
        <v>0</v>
      </c>
      <c r="U41" s="7">
        <f t="shared" si="32"/>
        <v>0</v>
      </c>
      <c r="V41" s="7">
        <f t="shared" si="32"/>
        <v>0</v>
      </c>
      <c r="W41" s="7">
        <f t="shared" si="32"/>
        <v>0</v>
      </c>
      <c r="X41" s="7">
        <f t="shared" si="32"/>
        <v>0</v>
      </c>
      <c r="Y41" s="7">
        <f t="shared" si="32"/>
        <v>0</v>
      </c>
      <c r="Z41" s="7">
        <f t="shared" si="32"/>
        <v>0</v>
      </c>
      <c r="AA41" s="7">
        <f t="shared" si="32"/>
        <v>0</v>
      </c>
      <c r="AB41" s="7">
        <f t="shared" si="32"/>
        <v>0</v>
      </c>
      <c r="AC41" s="7">
        <f t="shared" si="32"/>
        <v>0</v>
      </c>
      <c r="AD41" s="7">
        <f t="shared" si="32"/>
        <v>0</v>
      </c>
      <c r="AE41" s="7">
        <f t="shared" si="32"/>
        <v>0</v>
      </c>
      <c r="AF41" s="7">
        <f t="shared" si="32"/>
        <v>0</v>
      </c>
      <c r="AG41" s="7">
        <f t="shared" si="32"/>
        <v>0</v>
      </c>
      <c r="AH41" s="7">
        <f t="shared" si="32"/>
        <v>0</v>
      </c>
      <c r="AI41" s="7">
        <f t="shared" si="32"/>
        <v>896454.38888888899</v>
      </c>
      <c r="AJ41" s="7">
        <f t="shared" si="32"/>
        <v>896454.38888888899</v>
      </c>
      <c r="AK41" s="7">
        <f t="shared" si="32"/>
        <v>896454.38888888899</v>
      </c>
      <c r="AL41" s="7">
        <f t="shared" si="32"/>
        <v>896454.38888888899</v>
      </c>
      <c r="AM41" s="7">
        <f t="shared" si="32"/>
        <v>896454.38888888899</v>
      </c>
      <c r="AN41" s="7">
        <f t="shared" si="32"/>
        <v>896454.38888888899</v>
      </c>
      <c r="AO41" s="7">
        <f t="shared" si="32"/>
        <v>896454.38888888899</v>
      </c>
      <c r="AP41" s="7">
        <f t="shared" si="32"/>
        <v>896454.38888888899</v>
      </c>
      <c r="AQ41" s="7">
        <f t="shared" si="32"/>
        <v>896454.38888888899</v>
      </c>
      <c r="AR41" s="7">
        <f t="shared" si="32"/>
        <v>896454.38888888899</v>
      </c>
      <c r="AS41" s="7">
        <f t="shared" si="32"/>
        <v>896454.38888888899</v>
      </c>
      <c r="AT41" s="7">
        <f t="shared" si="32"/>
        <v>896454.38888888899</v>
      </c>
      <c r="AU41" s="7">
        <f t="shared" si="32"/>
        <v>896454.38888888899</v>
      </c>
      <c r="AV41" s="7">
        <f t="shared" si="32"/>
        <v>896454.38888888899</v>
      </c>
      <c r="AW41" s="7">
        <f t="shared" si="32"/>
        <v>896454.38888888899</v>
      </c>
      <c r="AX41" s="7">
        <f t="shared" si="32"/>
        <v>0</v>
      </c>
      <c r="AY41" s="7">
        <f t="shared" si="32"/>
        <v>0</v>
      </c>
      <c r="AZ41" s="7">
        <f t="shared" si="32"/>
        <v>0</v>
      </c>
      <c r="BA41" s="7">
        <f t="shared" si="32"/>
        <v>0</v>
      </c>
      <c r="BB41" s="7">
        <f t="shared" si="32"/>
        <v>0</v>
      </c>
      <c r="BC41" s="7">
        <f t="shared" si="32"/>
        <v>0</v>
      </c>
      <c r="BD41" s="7">
        <f t="shared" si="32"/>
        <v>0</v>
      </c>
      <c r="BE41" s="7">
        <f t="shared" si="32"/>
        <v>0</v>
      </c>
      <c r="BF41" s="7">
        <f t="shared" si="32"/>
        <v>0</v>
      </c>
      <c r="BG41" s="7">
        <f t="shared" si="32"/>
        <v>0</v>
      </c>
      <c r="BH41" s="7">
        <f t="shared" si="32"/>
        <v>0</v>
      </c>
      <c r="BI41" s="7">
        <f t="shared" si="32"/>
        <v>0</v>
      </c>
      <c r="BJ41" s="7">
        <f t="shared" si="32"/>
        <v>0</v>
      </c>
      <c r="BK41" s="7">
        <f t="shared" si="32"/>
        <v>0</v>
      </c>
      <c r="BL41" s="7">
        <f t="shared" si="32"/>
        <v>0</v>
      </c>
      <c r="BM41" s="7">
        <f t="shared" si="32"/>
        <v>0</v>
      </c>
      <c r="BN41" s="7">
        <f t="shared" si="32"/>
        <v>0</v>
      </c>
      <c r="BO41" s="7">
        <f t="shared" si="32"/>
        <v>0</v>
      </c>
      <c r="BP41" s="7">
        <f t="shared" si="32"/>
        <v>0</v>
      </c>
      <c r="BQ41" s="7">
        <f t="shared" si="32"/>
        <v>0</v>
      </c>
      <c r="BR41" s="7">
        <f t="shared" si="32"/>
        <v>0</v>
      </c>
      <c r="BS41" s="7">
        <f t="shared" si="32"/>
        <v>0</v>
      </c>
      <c r="BT41" s="7">
        <f t="shared" si="32"/>
        <v>0</v>
      </c>
      <c r="BU41" s="7">
        <f t="shared" si="32"/>
        <v>0</v>
      </c>
      <c r="BV41" s="7">
        <f t="shared" si="32"/>
        <v>0</v>
      </c>
      <c r="BW41" s="7">
        <f t="shared" si="32"/>
        <v>0</v>
      </c>
      <c r="BX41" s="7">
        <f t="shared" si="32"/>
        <v>0</v>
      </c>
      <c r="BY41" s="7">
        <f t="shared" ref="BY41:CE41" si="33">BY55</f>
        <v>0</v>
      </c>
      <c r="BZ41" s="7">
        <f t="shared" si="33"/>
        <v>0</v>
      </c>
      <c r="CA41" s="7">
        <f t="shared" si="33"/>
        <v>0</v>
      </c>
      <c r="CB41" s="7">
        <f t="shared" si="33"/>
        <v>0</v>
      </c>
      <c r="CC41" s="7">
        <f t="shared" si="33"/>
        <v>0</v>
      </c>
      <c r="CD41" s="7">
        <f t="shared" si="33"/>
        <v>0</v>
      </c>
      <c r="CE41" s="7">
        <f t="shared" si="33"/>
        <v>0</v>
      </c>
    </row>
    <row r="42" spans="3:83" s="3" customFormat="1">
      <c r="C42" s="3" t="str">
        <f>IF(условия!$E$9=1,условия!$C$9,IF(условия!$E$10=1,условия!$C$10,IF(условия!$E$11=1,условия!$C$11,"")))</f>
        <v>ОСНО</v>
      </c>
      <c r="E42" s="3" t="s">
        <v>42</v>
      </c>
      <c r="G42" s="33"/>
      <c r="H42" s="10"/>
      <c r="I42" s="9" t="s">
        <v>28</v>
      </c>
      <c r="J42" s="43">
        <f>SUM($K42:$CF42)</f>
        <v>181365554.52740452</v>
      </c>
      <c r="K42" s="69"/>
      <c r="L42" s="7">
        <f>L77</f>
        <v>0</v>
      </c>
      <c r="M42" s="7">
        <f t="shared" ref="M42:BX42" si="34">M77</f>
        <v>0</v>
      </c>
      <c r="N42" s="7">
        <f t="shared" si="34"/>
        <v>0</v>
      </c>
      <c r="O42" s="7">
        <f t="shared" si="34"/>
        <v>0</v>
      </c>
      <c r="P42" s="7">
        <f t="shared" si="34"/>
        <v>0</v>
      </c>
      <c r="Q42" s="7">
        <f t="shared" si="34"/>
        <v>0</v>
      </c>
      <c r="R42" s="7">
        <f t="shared" si="34"/>
        <v>0</v>
      </c>
      <c r="S42" s="7">
        <f t="shared" si="34"/>
        <v>0</v>
      </c>
      <c r="T42" s="7">
        <f t="shared" si="34"/>
        <v>0</v>
      </c>
      <c r="U42" s="7">
        <f t="shared" si="34"/>
        <v>0</v>
      </c>
      <c r="V42" s="7">
        <f t="shared" si="34"/>
        <v>0</v>
      </c>
      <c r="W42" s="7">
        <f t="shared" si="34"/>
        <v>0</v>
      </c>
      <c r="X42" s="7">
        <f t="shared" si="34"/>
        <v>0</v>
      </c>
      <c r="Y42" s="7">
        <f t="shared" si="34"/>
        <v>0</v>
      </c>
      <c r="Z42" s="7">
        <f t="shared" si="34"/>
        <v>0</v>
      </c>
      <c r="AA42" s="7">
        <f t="shared" si="34"/>
        <v>0</v>
      </c>
      <c r="AB42" s="7">
        <f t="shared" si="34"/>
        <v>0</v>
      </c>
      <c r="AC42" s="7">
        <f t="shared" si="34"/>
        <v>0</v>
      </c>
      <c r="AD42" s="7">
        <f t="shared" si="34"/>
        <v>0</v>
      </c>
      <c r="AE42" s="7">
        <f t="shared" si="34"/>
        <v>0</v>
      </c>
      <c r="AF42" s="7">
        <f t="shared" si="34"/>
        <v>0</v>
      </c>
      <c r="AG42" s="7">
        <f t="shared" si="34"/>
        <v>17500</v>
      </c>
      <c r="AH42" s="7">
        <f t="shared" si="34"/>
        <v>52750</v>
      </c>
      <c r="AI42" s="7">
        <f t="shared" si="34"/>
        <v>1871944.2338888887</v>
      </c>
      <c r="AJ42" s="7">
        <f t="shared" si="34"/>
        <v>3053800.0603703703</v>
      </c>
      <c r="AK42" s="7">
        <f t="shared" si="34"/>
        <v>4019787.9745387658</v>
      </c>
      <c r="AL42" s="7">
        <f t="shared" si="34"/>
        <v>4910906.1806284497</v>
      </c>
      <c r="AM42" s="7">
        <f t="shared" si="34"/>
        <v>5727154.6786394222</v>
      </c>
      <c r="AN42" s="7">
        <f t="shared" si="34"/>
        <v>6468533.4685716806</v>
      </c>
      <c r="AO42" s="7">
        <f t="shared" si="34"/>
        <v>7135042.5504252277</v>
      </c>
      <c r="AP42" s="7">
        <f t="shared" si="34"/>
        <v>7727563.3942778232</v>
      </c>
      <c r="AQ42" s="7">
        <f t="shared" si="34"/>
        <v>8246701.217644169</v>
      </c>
      <c r="AR42" s="7">
        <f t="shared" si="34"/>
        <v>8692602.7865652367</v>
      </c>
      <c r="AS42" s="7">
        <f t="shared" si="34"/>
        <v>9070414.573549917</v>
      </c>
      <c r="AT42" s="7">
        <f t="shared" si="34"/>
        <v>9374439.4248287473</v>
      </c>
      <c r="AU42" s="7">
        <f t="shared" si="34"/>
        <v>9605658.2476064768</v>
      </c>
      <c r="AV42" s="7">
        <f t="shared" si="34"/>
        <v>9764216.6539401039</v>
      </c>
      <c r="AW42" s="7">
        <f t="shared" si="34"/>
        <v>9850259.9646625184</v>
      </c>
      <c r="AX42" s="7">
        <f t="shared" si="34"/>
        <v>9850259.9646625184</v>
      </c>
      <c r="AY42" s="7">
        <f t="shared" si="34"/>
        <v>9234384.3298240565</v>
      </c>
      <c r="AZ42" s="7">
        <f t="shared" si="34"/>
        <v>8658441.1765431631</v>
      </c>
      <c r="BA42" s="7">
        <f t="shared" si="34"/>
        <v>8071208.1277473485</v>
      </c>
      <c r="BB42" s="7">
        <f t="shared" si="34"/>
        <v>7437255.2732555419</v>
      </c>
      <c r="BC42" s="7">
        <f t="shared" si="34"/>
        <v>6756137.9948018147</v>
      </c>
      <c r="BD42" s="7">
        <f t="shared" si="34"/>
        <v>6027478.0877579385</v>
      </c>
      <c r="BE42" s="7">
        <f t="shared" si="34"/>
        <v>5250894.4546859367</v>
      </c>
      <c r="BF42" s="7">
        <f t="shared" si="34"/>
        <v>4426002.9435827071</v>
      </c>
      <c r="BG42" s="7">
        <f t="shared" si="34"/>
        <v>3591090.9117913712</v>
      </c>
      <c r="BH42" s="7">
        <f t="shared" si="34"/>
        <v>2788724.4345374848</v>
      </c>
      <c r="BI42" s="7">
        <f t="shared" si="34"/>
        <v>1986542.0378562224</v>
      </c>
      <c r="BJ42" s="7">
        <f t="shared" si="34"/>
        <v>1218313.8047775687</v>
      </c>
      <c r="BK42" s="7">
        <f t="shared" si="34"/>
        <v>479545.57544307125</v>
      </c>
      <c r="BL42" s="7">
        <f t="shared" si="34"/>
        <v>0</v>
      </c>
      <c r="BM42" s="7">
        <f t="shared" si="34"/>
        <v>0</v>
      </c>
      <c r="BN42" s="7">
        <f t="shared" si="34"/>
        <v>0</v>
      </c>
      <c r="BO42" s="7">
        <f t="shared" si="34"/>
        <v>0</v>
      </c>
      <c r="BP42" s="7">
        <f t="shared" si="34"/>
        <v>0</v>
      </c>
      <c r="BQ42" s="7">
        <f t="shared" si="34"/>
        <v>0</v>
      </c>
      <c r="BR42" s="7">
        <f t="shared" si="34"/>
        <v>0</v>
      </c>
      <c r="BS42" s="7">
        <f t="shared" si="34"/>
        <v>0</v>
      </c>
      <c r="BT42" s="7">
        <f t="shared" si="34"/>
        <v>0</v>
      </c>
      <c r="BU42" s="7">
        <f t="shared" si="34"/>
        <v>0</v>
      </c>
      <c r="BV42" s="7">
        <f t="shared" si="34"/>
        <v>0</v>
      </c>
      <c r="BW42" s="7">
        <f t="shared" si="34"/>
        <v>0</v>
      </c>
      <c r="BX42" s="7">
        <f t="shared" si="34"/>
        <v>0</v>
      </c>
      <c r="BY42" s="7">
        <f t="shared" ref="BY42:CE42" si="35">BY77</f>
        <v>0</v>
      </c>
      <c r="BZ42" s="7">
        <f t="shared" si="35"/>
        <v>0</v>
      </c>
      <c r="CA42" s="7">
        <f t="shared" si="35"/>
        <v>0</v>
      </c>
      <c r="CB42" s="7">
        <f t="shared" si="35"/>
        <v>0</v>
      </c>
      <c r="CC42" s="7">
        <f t="shared" si="35"/>
        <v>0</v>
      </c>
      <c r="CD42" s="7">
        <f t="shared" si="35"/>
        <v>0</v>
      </c>
      <c r="CE42" s="7">
        <f t="shared" si="35"/>
        <v>0</v>
      </c>
    </row>
    <row r="43" spans="3:83">
      <c r="C43" s="4" t="str">
        <f>IF(условия!$E$9=1,условия!$C$9,IF(условия!$E$10=1,условия!$C$10,IF(условия!$E$11=1,условия!$C$11,"")))</f>
        <v>ОСНО</v>
      </c>
      <c r="H43" s="1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</row>
    <row r="44" spans="3:83" s="3" customFormat="1">
      <c r="C44" s="3" t="str">
        <f>IF(условия!$E$9=1,условия!$C$9,IF(условия!$E$10=1,условия!$C$10,IF(условия!$E$11=1,условия!$C$11,"")))</f>
        <v>ОСНО</v>
      </c>
      <c r="E44" s="3" t="s">
        <v>73</v>
      </c>
      <c r="G44" s="33"/>
      <c r="I44" s="9" t="s">
        <v>17</v>
      </c>
      <c r="J44" s="43">
        <f>SUM($K44:$CF44)</f>
        <v>-144567654.62962961</v>
      </c>
      <c r="K44" s="69"/>
      <c r="L44" s="7">
        <f>IF($C$44=условия!$C$9,L26*условия!$E$37/(1+условия!$E$37)+L27*условия!$E$52/(1+условия!$E$52)+L28*условия!$E$54/(1+условия!$E$54)+L29*условия!$E$43/(1+условия!$E$43)+(-SUM(L10:L15)-L17*$H$20-L20-L18*$H$23-L23-L36-L39)*условия!$E$56/(1+условия!$E$56)-L19,(-SUM(L10:L15)-L17*$H$20-L20-L18*$H$23-L23-L36-L39)*условия!$E$56/(1+условия!$E$56)-L19)</f>
        <v>-12500000</v>
      </c>
      <c r="M44" s="7">
        <f>IF($C$44=условия!$C$9,M26*условия!$E$37/(1+условия!$E$37)+M27*условия!$E$52/(1+условия!$E$52)+M28*условия!$E$54/(1+условия!$E$54)+M29*условия!$E$43/(1+условия!$E$43)+(-SUM(M10:M15)-M17*$H$20-M20-M18*$H$23-M23-M36-M39)*условия!$E$56/(1+условия!$E$56)-M19,(-SUM(M10:M15)-M17*$H$20-M20-M18*$H$23-M23-M36-M39)*условия!$E$56/(1+условия!$E$56)-M19)</f>
        <v>-12500000</v>
      </c>
      <c r="N44" s="7">
        <f>IF($C$44=условия!$C$9,N26*условия!$E$37/(1+условия!$E$37)+N27*условия!$E$52/(1+условия!$E$52)+N28*условия!$E$54/(1+условия!$E$54)+N29*условия!$E$43/(1+условия!$E$43)+(-SUM(N10:N15)-N17*$H$20-N20-N18*$H$23-N23-N36-N39)*условия!$E$56/(1+условия!$E$56)-N19,(-SUM(N10:N15)-N17*$H$20-N20-N18*$H$23-N23-N36-N39)*условия!$E$56/(1+условия!$E$56)-N19)</f>
        <v>-12500000</v>
      </c>
      <c r="O44" s="7">
        <f>IF($C$44=условия!$C$9,O26*условия!$E$37/(1+условия!$E$37)+O27*условия!$E$52/(1+условия!$E$52)+O28*условия!$E$54/(1+условия!$E$54)+O29*условия!$E$43/(1+условия!$E$43)+(-SUM(O10:O15)-O17*$H$20-O20-O18*$H$23-O23-O36-O39)*условия!$E$56/(1+условия!$E$56)-O19,(-SUM(O10:O15)-O17*$H$20-O20-O18*$H$23-O23-O36-O39)*условия!$E$56/(1+условия!$E$56)-O19)</f>
        <v>-2500000</v>
      </c>
      <c r="P44" s="7">
        <f>IF($C$44=условия!$C$9,P26*условия!$E$37/(1+условия!$E$37)+P27*условия!$E$52/(1+условия!$E$52)+P28*условия!$E$54/(1+условия!$E$54)+P29*условия!$E$43/(1+условия!$E$43)+(-SUM(P10:P15)-P17*$H$20-P20-P18*$H$23-P23-P36-P39)*условия!$E$56/(1+условия!$E$56)-P19,(-SUM(P10:P15)-P17*$H$20-P20-P18*$H$23-P23-P36-P39)*условия!$E$56/(1+условия!$E$56)-P19)</f>
        <v>-2500000</v>
      </c>
      <c r="Q44" s="7">
        <f>IF($C$44=условия!$C$9,Q26*условия!$E$37/(1+условия!$E$37)+Q27*условия!$E$52/(1+условия!$E$52)+Q28*условия!$E$54/(1+условия!$E$54)+Q29*условия!$E$43/(1+условия!$E$43)+(-SUM(Q10:Q15)-Q17*$H$20-Q20-Q18*$H$23-Q23-Q36-Q39)*условия!$E$56/(1+условия!$E$56)-Q19,(-SUM(Q10:Q15)-Q17*$H$20-Q20-Q18*$H$23-Q23-Q36-Q39)*условия!$E$56/(1+условия!$E$56)-Q19)</f>
        <v>-2500000</v>
      </c>
      <c r="R44" s="7">
        <f>IF($C$44=условия!$C$9,R26*условия!$E$37/(1+условия!$E$37)+R27*условия!$E$52/(1+условия!$E$52)+R28*условия!$E$54/(1+условия!$E$54)+R29*условия!$E$43/(1+условия!$E$43)+(-SUM(R10:R15)-R17*$H$20-R20-R18*$H$23-R23-R36-R39)*условия!$E$56/(1+условия!$E$56)-R19,(-SUM(R10:R15)-R17*$H$20-R20-R18*$H$23-R23-R36-R39)*условия!$E$56/(1+условия!$E$56)-R19)</f>
        <v>-2000000</v>
      </c>
      <c r="S44" s="7">
        <f>IF($C$44=условия!$C$9,S26*условия!$E$37/(1+условия!$E$37)+S27*условия!$E$52/(1+условия!$E$52)+S28*условия!$E$54/(1+условия!$E$54)+S29*условия!$E$43/(1+условия!$E$43)+(-SUM(S10:S15)-S17*$H$20-S20-S18*$H$23-S23-S36-S39)*условия!$E$56/(1+условия!$E$56)-S19,(-SUM(S10:S15)-S17*$H$20-S20-S18*$H$23-S23-S36-S39)*условия!$E$56/(1+условия!$E$56)-S19)</f>
        <v>-2000000</v>
      </c>
      <c r="T44" s="7">
        <f>IF($C$44=условия!$C$9,T26*условия!$E$37/(1+условия!$E$37)+T27*условия!$E$52/(1+условия!$E$52)+T28*условия!$E$54/(1+условия!$E$54)+T29*условия!$E$43/(1+условия!$E$43)+(-SUM(T10:T15)-T17*$H$20-T20-T18*$H$23-T23-T36-T39)*условия!$E$56/(1+условия!$E$56)-T19,(-SUM(T10:T15)-T17*$H$20-T20-T18*$H$23-T23-T36-T39)*условия!$E$56/(1+условия!$E$56)-T19)</f>
        <v>-2000000</v>
      </c>
      <c r="U44" s="7">
        <f>IF($C$44=условия!$C$9,U26*условия!$E$37/(1+условия!$E$37)+U27*условия!$E$52/(1+условия!$E$52)+U28*условия!$E$54/(1+условия!$E$54)+U29*условия!$E$43/(1+условия!$E$43)+(-SUM(U10:U15)-U17*$H$20-U20-U18*$H$23-U23-U36-U39)*условия!$E$56/(1+условия!$E$56)-U19,(-SUM(U10:U15)-U17*$H$20-U20-U18*$H$23-U23-U36-U39)*условия!$E$56/(1+условия!$E$56)-U19)</f>
        <v>-700000</v>
      </c>
      <c r="V44" s="7">
        <f>IF($C$44=условия!$C$9,V26*условия!$E$37/(1+условия!$E$37)+V27*условия!$E$52/(1+условия!$E$52)+V28*условия!$E$54/(1+условия!$E$54)+V29*условия!$E$43/(1+условия!$E$43)+(-SUM(V10:V15)-V17*$H$20-V20-V18*$H$23-V23-V36-V39)*условия!$E$56/(1+условия!$E$56)-V19,(-SUM(V10:V15)-V17*$H$20-V20-V18*$H$23-V23-V36-V39)*условия!$E$56/(1+условия!$E$56)-V19)</f>
        <v>-700000</v>
      </c>
      <c r="W44" s="7">
        <f>IF($C$44=условия!$C$9,W26*условия!$E$37/(1+условия!$E$37)+W27*условия!$E$52/(1+условия!$E$52)+W28*условия!$E$54/(1+условия!$E$54)+W29*условия!$E$43/(1+условия!$E$43)+(-SUM(W10:W15)-W17*$H$20-W20-W18*$H$23-W23-W36-W39)*условия!$E$56/(1+условия!$E$56)-W19,(-SUM(W10:W15)-W17*$H$20-W20-W18*$H$23-W23-W36-W39)*условия!$E$56/(1+условия!$E$56)-W19)</f>
        <v>-700000</v>
      </c>
      <c r="X44" s="7">
        <f>IF($C$44=условия!$C$9,X26*условия!$E$37/(1+условия!$E$37)+X27*условия!$E$52/(1+условия!$E$52)+X28*условия!$E$54/(1+условия!$E$54)+X29*условия!$E$43/(1+условия!$E$43)+(-SUM(X10:X15)-X17*$H$20-X20-X18*$H$23-X23-X36-X39)*условия!$E$56/(1+условия!$E$56)-X19,(-SUM(X10:X15)-X17*$H$20-X20-X18*$H$23-X23-X36-X39)*условия!$E$56/(1+условия!$E$56)-X19)</f>
        <v>-700000</v>
      </c>
      <c r="Y44" s="7">
        <f>IF($C$44=условия!$C$9,Y26*условия!$E$37/(1+условия!$E$37)+Y27*условия!$E$52/(1+условия!$E$52)+Y28*условия!$E$54/(1+условия!$E$54)+Y29*условия!$E$43/(1+условия!$E$43)+(-SUM(Y10:Y15)-Y17*$H$20-Y20-Y18*$H$23-Y23-Y36-Y39)*условия!$E$56/(1+условия!$E$56)-Y19,(-SUM(Y10:Y15)-Y17*$H$20-Y20-Y18*$H$23-Y23-Y36-Y39)*условия!$E$56/(1+условия!$E$56)-Y19)</f>
        <v>-700000</v>
      </c>
      <c r="Z44" s="7">
        <f>IF($C$44=условия!$C$9,Z26*условия!$E$37/(1+условия!$E$37)+Z27*условия!$E$52/(1+условия!$E$52)+Z28*условия!$E$54/(1+условия!$E$54)+Z29*условия!$E$43/(1+условия!$E$43)+(-SUM(Z10:Z15)-Z17*$H$20-Z20-Z18*$H$23-Z23-Z36-Z39)*условия!$E$56/(1+условия!$E$56)-Z19,(-SUM(Z10:Z15)-Z17*$H$20-Z20-Z18*$H$23-Z23-Z36-Z39)*условия!$E$56/(1+условия!$E$56)-Z19)</f>
        <v>-700000</v>
      </c>
      <c r="AA44" s="7">
        <f>IF($C$44=условия!$C$9,AA26*условия!$E$37/(1+условия!$E$37)+AA27*условия!$E$52/(1+условия!$E$52)+AA28*условия!$E$54/(1+условия!$E$54)+AA29*условия!$E$43/(1+условия!$E$43)+(-SUM(AA10:AA15)-AA17*$H$20-AA20-AA18*$H$23-AA23-AA36-AA39)*условия!$E$56/(1+условия!$E$56)-AA19,(-SUM(AA10:AA15)-AA17*$H$20-AA20-AA18*$H$23-AA23-AA36-AA39)*условия!$E$56/(1+условия!$E$56)-AA19)</f>
        <v>-700000</v>
      </c>
      <c r="AB44" s="7">
        <f>IF($C$44=условия!$C$9,AB26*условия!$E$37/(1+условия!$E$37)+AB27*условия!$E$52/(1+условия!$E$52)+AB28*условия!$E$54/(1+условия!$E$54)+AB29*условия!$E$43/(1+условия!$E$43)+(-SUM(AB10:AB15)-AB17*$H$20-AB20-AB18*$H$23-AB23-AB36-AB39)*условия!$E$56/(1+условия!$E$56)-AB19,(-SUM(AB10:AB15)-AB17*$H$20-AB20-AB18*$H$23-AB23-AB36-AB39)*условия!$E$56/(1+условия!$E$56)-AB19)</f>
        <v>-700000</v>
      </c>
      <c r="AC44" s="7">
        <f>IF($C$44=условия!$C$9,AC26*условия!$E$37/(1+условия!$E$37)+AC27*условия!$E$52/(1+условия!$E$52)+AC28*условия!$E$54/(1+условия!$E$54)+AC29*условия!$E$43/(1+условия!$E$43)+(-SUM(AC10:AC15)-AC17*$H$20-AC20-AC18*$H$23-AC23-AC36-AC39)*условия!$E$56/(1+условия!$E$56)-AC19,(-SUM(AC10:AC15)-AC17*$H$20-AC20-AC18*$H$23-AC23-AC36-AC39)*условия!$E$56/(1+условия!$E$56)-AC19)</f>
        <v>-700000</v>
      </c>
      <c r="AD44" s="7">
        <f>IF($C$44=условия!$C$9,AD26*условия!$E$37/(1+условия!$E$37)+AD27*условия!$E$52/(1+условия!$E$52)+AD28*условия!$E$54/(1+условия!$E$54)+AD29*условия!$E$43/(1+условия!$E$43)+(-SUM(AD10:AD15)-AD17*$H$20-AD20-AD18*$H$23-AD23-AD36-AD39)*условия!$E$56/(1+условия!$E$56)-AD19,(-SUM(AD10:AD15)-AD17*$H$20-AD20-AD18*$H$23-AD23-AD36-AD39)*условия!$E$56/(1+условия!$E$56)-AD19)</f>
        <v>-700000</v>
      </c>
      <c r="AE44" s="7">
        <f>IF($C$44=условия!$C$9,AE26*условия!$E$37/(1+условия!$E$37)+AE27*условия!$E$52/(1+условия!$E$52)+AE28*условия!$E$54/(1+условия!$E$54)+AE29*условия!$E$43/(1+условия!$E$43)+(-SUM(AE10:AE15)-AE17*$H$20-AE20-AE18*$H$23-AE23-AE36-AE39)*условия!$E$56/(1+условия!$E$56)-AE19,(-SUM(AE10:AE15)-AE17*$H$20-AE20-AE18*$H$23-AE23-AE36-AE39)*условия!$E$56/(1+условия!$E$56)-AE19)</f>
        <v>-700000</v>
      </c>
      <c r="AF44" s="7">
        <f>IF($C$44=условия!$C$9,AF26*условия!$E$37/(1+условия!$E$37)+AF27*условия!$E$52/(1+условия!$E$52)+AF28*условия!$E$54/(1+условия!$E$54)+AF29*условия!$E$43/(1+условия!$E$43)+(-SUM(AF10:AF15)-AF17*$H$20-AF20-AF18*$H$23-AF23-AF36-AF39)*условия!$E$56/(1+условия!$E$56)-AF19,(-SUM(AF10:AF15)-AF17*$H$20-AF20-AF18*$H$23-AF23-AF36-AF39)*условия!$E$56/(1+условия!$E$56)-AF19)</f>
        <v>-700000</v>
      </c>
      <c r="AG44" s="7">
        <f>IF($C$44=условия!$C$9,AG26*условия!$E$37/(1+условия!$E$37)+AG27*условия!$E$52/(1+условия!$E$52)+AG28*условия!$E$54/(1+условия!$E$54)+AG29*условия!$E$43/(1+условия!$E$43)+(-SUM(AG10:AG15)-AG17*$H$20-AG20-AG18*$H$23-AG23-AG36-AG39)*условия!$E$56/(1+условия!$E$56)-AG19,(-SUM(AG10:AG15)-AG17*$H$20-AG20-AG18*$H$23-AG23-AG36-AG39)*условия!$E$56/(1+условия!$E$56)-AG19)</f>
        <v>-700000</v>
      </c>
      <c r="AH44" s="7">
        <f>IF($C$44=условия!$C$9,AH26*условия!$E$37/(1+условия!$E$37)+AH27*условия!$E$52/(1+условия!$E$52)+AH28*условия!$E$54/(1+условия!$E$54)+AH29*условия!$E$43/(1+условия!$E$43)+(-SUM(AH10:AH15)-AH17*$H$20-AH20-AH18*$H$23-AH23-AH36-AH39)*условия!$E$56/(1+условия!$E$56)-AH19,(-SUM(AH10:AH15)-AH17*$H$20-AH20-AH18*$H$23-AH23-AH36-AH39)*условия!$E$56/(1+условия!$E$56)-AH19)</f>
        <v>-700000</v>
      </c>
      <c r="AI44" s="7">
        <f>IF($C$44=условия!$C$9,AI26*условия!$E$37/(1+условия!$E$37)+AI27*условия!$E$52/(1+условия!$E$52)+AI28*условия!$E$54/(1+условия!$E$54)+AI29*условия!$E$43/(1+условия!$E$43)+(-SUM(AI10:AI15)-AI17*$H$20-AI20-AI18*$H$23-AI23-AI36-AI39)*условия!$E$56/(1+условия!$E$56)-AI19,(-SUM(AI10:AI15)-AI17*$H$20-AI20-AI18*$H$23-AI23-AI36-AI39)*условия!$E$56/(1+условия!$E$56)-AI19)</f>
        <v>-700000</v>
      </c>
      <c r="AJ44" s="7">
        <f>IF($C$44=условия!$C$9,AJ26*условия!$E$37/(1+условия!$E$37)+AJ27*условия!$E$52/(1+условия!$E$52)+AJ28*условия!$E$54/(1+условия!$E$54)+AJ29*условия!$E$43/(1+условия!$E$43)+(-SUM(AJ10:AJ15)-AJ17*$H$20-AJ20-AJ18*$H$23-AJ23-AJ36-AJ39)*условия!$E$56/(1+условия!$E$56)-AJ19,(-SUM(AJ10:AJ15)-AJ17*$H$20-AJ20-AJ18*$H$23-AJ23-AJ36-AJ39)*условия!$E$56/(1+условия!$E$56)-AJ19)</f>
        <v>-13970617.283950618</v>
      </c>
      <c r="AK44" s="7">
        <f>IF($C$44=условия!$C$9,AK26*условия!$E$37/(1+условия!$E$37)+AK27*условия!$E$52/(1+условия!$E$52)+AK28*условия!$E$54/(1+условия!$E$54)+AK29*условия!$E$43/(1+условия!$E$43)+(-SUM(AK10:AK15)-AK17*$H$20-AK20-AK18*$H$23-AK23-AK36-AK39)*условия!$E$56/(1+условия!$E$56)-AK19,(-SUM(AK10:AK15)-AK17*$H$20-AK20-AK18*$H$23-AK23-AK36-AK39)*условия!$E$56/(1+условия!$E$56)-AK19)</f>
        <v>-13141414.144463964</v>
      </c>
      <c r="AL44" s="7">
        <f>IF($C$44=условия!$C$9,AL26*условия!$E$37/(1+условия!$E$37)+AL27*условия!$E$52/(1+условия!$E$52)+AL28*условия!$E$54/(1+условия!$E$54)+AL29*условия!$E$43/(1+условия!$E$43)+(-SUM(AL10:AL15)-AL17*$H$20-AL20-AL18*$H$23-AL23-AL36-AL39)*условия!$E$56/(1+условия!$E$56)-AL19,(-SUM(AL10:AL15)-AL17*$H$20-AL20-AL18*$H$23-AL23-AL36-AL39)*условия!$E$56/(1+условия!$E$56)-AL19)</f>
        <v>-12312211.00497731</v>
      </c>
      <c r="AM44" s="7">
        <f>IF($C$44=условия!$C$9,AM26*условия!$E$37/(1+условия!$E$37)+AM27*условия!$E$52/(1+условия!$E$52)+AM28*условия!$E$54/(1+условия!$E$54)+AM29*условия!$E$43/(1+условия!$E$43)+(-SUM(AM10:AM15)-AM17*$H$20-AM20-AM18*$H$23-AM23-AM36-AM39)*условия!$E$56/(1+условия!$E$56)-AM19,(-SUM(AM10:AM15)-AM17*$H$20-AM20-AM18*$H$23-AM23-AM36-AM39)*условия!$E$56/(1+условия!$E$56)-AM19)</f>
        <v>-11483007.865490654</v>
      </c>
      <c r="AN44" s="7">
        <f>IF($C$44=условия!$C$9,AN26*условия!$E$37/(1+условия!$E$37)+AN27*условия!$E$52/(1+условия!$E$52)+AN28*условия!$E$54/(1+условия!$E$54)+AN29*условия!$E$43/(1+условия!$E$43)+(-SUM(AN10:AN15)-AN17*$H$20-AN20-AN18*$H$23-AN23-AN36-AN39)*условия!$E$56/(1+условия!$E$56)-AN19,(-SUM(AN10:AN15)-AN17*$H$20-AN20-AN18*$H$23-AN23-AN36-AN39)*условия!$E$56/(1+условия!$E$56)-AN19)</f>
        <v>-10653804.726004001</v>
      </c>
      <c r="AO44" s="7">
        <f>IF($C$44=условия!$C$9,AO26*условия!$E$37/(1+условия!$E$37)+AO27*условия!$E$52/(1+условия!$E$52)+AO28*условия!$E$54/(1+условия!$E$54)+AO29*условия!$E$43/(1+условия!$E$43)+(-SUM(AO10:AO15)-AO17*$H$20-AO20-AO18*$H$23-AO23-AO36-AO39)*условия!$E$56/(1+условия!$E$56)-AO19,(-SUM(AO10:AO15)-AO17*$H$20-AO20-AO18*$H$23-AO23-AO36-AO39)*условия!$E$56/(1+условия!$E$56)-AO19)</f>
        <v>-9824601.5865173489</v>
      </c>
      <c r="AP44" s="7">
        <f>IF($C$44=условия!$C$9,AP26*условия!$E$37/(1+условия!$E$37)+AP27*условия!$E$52/(1+условия!$E$52)+AP28*условия!$E$54/(1+условия!$E$54)+AP29*условия!$E$43/(1+условия!$E$43)+(-SUM(AP10:AP15)-AP17*$H$20-AP20-AP18*$H$23-AP23-AP36-AP39)*условия!$E$56/(1+условия!$E$56)-AP19,(-SUM(AP10:AP15)-AP17*$H$20-AP20-AP18*$H$23-AP23-AP36-AP39)*условия!$E$56/(1+условия!$E$56)-AP19)</f>
        <v>-8995398.4470306952</v>
      </c>
      <c r="AQ44" s="7">
        <f>IF($C$44=условия!$C$9,AQ26*условия!$E$37/(1+условия!$E$37)+AQ27*условия!$E$52/(1+условия!$E$52)+AQ28*условия!$E$54/(1+условия!$E$54)+AQ29*условия!$E$43/(1+условия!$E$43)+(-SUM(AQ10:AQ15)-AQ17*$H$20-AQ20-AQ18*$H$23-AQ23-AQ36-AQ39)*условия!$E$56/(1+условия!$E$56)-AQ19,(-SUM(AQ10:AQ15)-AQ17*$H$20-AQ20-AQ18*$H$23-AQ23-AQ36-AQ39)*условия!$E$56/(1+условия!$E$56)-AQ19)</f>
        <v>-8166195.3075440405</v>
      </c>
      <c r="AR44" s="7">
        <f>IF($C$44=условия!$C$9,AR26*условия!$E$37/(1+условия!$E$37)+AR27*условия!$E$52/(1+условия!$E$52)+AR28*условия!$E$54/(1+условия!$E$54)+AR29*условия!$E$43/(1+условия!$E$43)+(-SUM(AR10:AR15)-AR17*$H$20-AR20-AR18*$H$23-AR23-AR36-AR39)*условия!$E$56/(1+условия!$E$56)-AR19,(-SUM(AR10:AR15)-AR17*$H$20-AR20-AR18*$H$23-AR23-AR36-AR39)*условия!$E$56/(1+условия!$E$56)-AR19)</f>
        <v>-7336992.1680573858</v>
      </c>
      <c r="AS44" s="7">
        <f>IF($C$44=условия!$C$9,AS26*условия!$E$37/(1+условия!$E$37)+AS27*условия!$E$52/(1+условия!$E$52)+AS28*условия!$E$54/(1+условия!$E$54)+AS29*условия!$E$43/(1+условия!$E$43)+(-SUM(AS10:AS15)-AS17*$H$20-AS20-AS18*$H$23-AS23-AS36-AS39)*условия!$E$56/(1+условия!$E$56)-AS19,(-SUM(AS10:AS15)-AS17*$H$20-AS20-AS18*$H$23-AS23-AS36-AS39)*условия!$E$56/(1+условия!$E$56)-AS19)</f>
        <v>-6591122.3619040651</v>
      </c>
      <c r="AT44" s="7">
        <f>IF($C$44=условия!$C$9,AT26*условия!$E$37/(1+условия!$E$37)+AT27*условия!$E$52/(1+условия!$E$52)+AT28*условия!$E$54/(1+условия!$E$54)+AT29*условия!$E$43/(1+условия!$E$43)+(-SUM(AT10:AT15)-AT17*$H$20-AT20-AT18*$H$23-AT23-AT36-AT39)*условия!$E$56/(1+условия!$E$56)-AT19,(-SUM(AT10:AT15)-AT17*$H$20-AT20-AT18*$H$23-AT23-AT36-AT39)*условия!$E$56/(1+условия!$E$56)-AT19)</f>
        <v>-5761919.2224174114</v>
      </c>
      <c r="AU44" s="7">
        <f>IF($C$44=условия!$C$9,AU26*условия!$E$37/(1+условия!$E$37)+AU27*условия!$E$52/(1+условия!$E$52)+AU28*условия!$E$54/(1+условия!$E$54)+AU29*условия!$E$43/(1+условия!$E$43)+(-SUM(AU10:AU15)-AU17*$H$20-AU20-AU18*$H$23-AU23-AU36-AU39)*условия!$E$56/(1+условия!$E$56)-AU19,(-SUM(AU10:AU15)-AU17*$H$20-AU20-AU18*$H$23-AU23-AU36-AU39)*условия!$E$56/(1+условия!$E$56)-AU19)</f>
        <v>-4932716.0829307567</v>
      </c>
      <c r="AV44" s="7">
        <f>IF($C$44=условия!$C$9,AV26*условия!$E$37/(1+условия!$E$37)+AV27*условия!$E$52/(1+условия!$E$52)+AV28*условия!$E$54/(1+условия!$E$54)+AV29*условия!$E$43/(1+условия!$E$43)+(-SUM(AV10:AV15)-AV17*$H$20-AV20-AV18*$H$23-AV23-AV36-AV39)*условия!$E$56/(1+условия!$E$56)-AV19,(-SUM(AV10:AV15)-AV17*$H$20-AV20-AV18*$H$23-AV23-AV36-AV39)*условия!$E$56/(1+условия!$E$56)-AV19)</f>
        <v>-4103512.9434441035</v>
      </c>
      <c r="AW44" s="7">
        <f>IF($C$44=условия!$C$9,AW26*условия!$E$37/(1+условия!$E$37)+AW27*условия!$E$52/(1+условия!$E$52)+AW28*условия!$E$54/(1+условия!$E$54)+AW29*условия!$E$43/(1+условия!$E$43)+(-SUM(AW10:AW15)-AW17*$H$20-AW20-AW18*$H$23-AW23-AW36-AW39)*условия!$E$56/(1+условия!$E$56)-AW19,(-SUM(AW10:AW15)-AW17*$H$20-AW20-AW18*$H$23-AW23-AW36-AW39)*условия!$E$56/(1+условия!$E$56)-AW19)</f>
        <v>-3274309.8039574502</v>
      </c>
      <c r="AX44" s="7">
        <f>IF($C$44=условия!$C$9,AX26*условия!$E$37/(1+условия!$E$37)+AX27*условия!$E$52/(1+условия!$E$52)+AX28*условия!$E$54/(1+условия!$E$54)+AX29*условия!$E$43/(1+условия!$E$43)+(-SUM(AX10:AX15)-AX17*$H$20-AX20-AX18*$H$23-AX23-AX36-AX39)*условия!$E$56/(1+условия!$E$56)-AX19,(-SUM(AX10:AX15)-AX17*$H$20-AX20-AX18*$H$23-AX23-AX36-AX39)*условия!$E$56/(1+условия!$E$56)-AX19)</f>
        <v>-2445106.6644707951</v>
      </c>
      <c r="AY44" s="7">
        <f>IF($C$44=условия!$C$9,AY26*условия!$E$37/(1+условия!$E$37)+AY27*условия!$E$52/(1+условия!$E$52)+AY28*условия!$E$54/(1+условия!$E$54)+AY29*условия!$E$43/(1+условия!$E$43)+(-SUM(AY10:AY15)-AY17*$H$20-AY20-AY18*$H$23-AY23-AY36-AY39)*условия!$E$56/(1+условия!$E$56)-AY19,(-SUM(AY10:AY15)-AY17*$H$20-AY20-AY18*$H$23-AY23-AY36-AY39)*условия!$E$56/(1+условия!$E$56)-AY19)</f>
        <v>1153228.5737812913</v>
      </c>
      <c r="AZ44" s="7">
        <f>IF($C$44=условия!$C$9,AZ26*условия!$E$37/(1+условия!$E$37)+AZ27*условия!$E$52/(1+условия!$E$52)+AZ28*условия!$E$54/(1+условия!$E$54)+AZ29*условия!$E$43/(1+условия!$E$43)+(-SUM(AZ10:AZ15)-AZ17*$H$20-AZ20-AZ18*$H$23-AZ23-AZ36-AZ39)*условия!$E$56/(1+условия!$E$56)-AZ19,(-SUM(AZ10:AZ15)-AZ17*$H$20-AZ20-AZ18*$H$23-AZ23-AZ36-AZ39)*условия!$E$56/(1+условия!$E$56)-AZ19)</f>
        <v>1256752.7009222666</v>
      </c>
      <c r="BA44" s="7">
        <f>IF($C$44=условия!$C$9,BA26*условия!$E$37/(1+условия!$E$37)+BA27*условия!$E$52/(1+условия!$E$52)+BA28*условия!$E$54/(1+условия!$E$54)+BA29*условия!$E$43/(1+условия!$E$43)+(-SUM(BA10:BA15)-BA17*$H$20-BA20-BA18*$H$23-BA23-BA36-BA39)*условия!$E$56/(1+условия!$E$56)-BA19,(-SUM(BA10:BA15)-BA17*$H$20-BA20-BA18*$H$23-BA23-BA36-BA39)*условия!$E$56/(1+условия!$E$56)-BA19)</f>
        <v>1360276.8280632412</v>
      </c>
      <c r="BB44" s="7">
        <f>IF($C$44=условия!$C$9,BB26*условия!$E$37/(1+условия!$E$37)+BB27*условия!$E$52/(1+условия!$E$52)+BB28*условия!$E$54/(1+условия!$E$54)+BB29*условия!$E$43/(1+условия!$E$43)+(-SUM(BB10:BB15)-BB17*$H$20-BB20-BB18*$H$23-BB23-BB36-BB39)*условия!$E$56/(1+условия!$E$56)-BB19,(-SUM(BB10:BB15)-BB17*$H$20-BB20-BB18*$H$23-BB23-BB36-BB39)*условия!$E$56/(1+условия!$E$56)-BB19)</f>
        <v>1463800.9552042163</v>
      </c>
      <c r="BC44" s="7">
        <f>IF($C$44=условия!$C$9,BC26*условия!$E$37/(1+условия!$E$37)+BC27*условия!$E$52/(1+условия!$E$52)+BC28*условия!$E$54/(1+условия!$E$54)+BC29*условия!$E$43/(1+условия!$E$43)+(-SUM(BC10:BC15)-BC17*$H$20-BC20-BC18*$H$23-BC23-BC36-BC39)*условия!$E$56/(1+условия!$E$56)-BC19,(-SUM(BC10:BC15)-BC17*$H$20-BC20-BC18*$H$23-BC23-BC36-BC39)*условия!$E$56/(1+условия!$E$56)-BC19)</f>
        <v>1567325.0823451907</v>
      </c>
      <c r="BD44" s="7">
        <f>IF($C$44=условия!$C$9,BD26*условия!$E$37/(1+условия!$E$37)+BD27*условия!$E$52/(1+условия!$E$52)+BD28*условия!$E$54/(1+условия!$E$54)+BD29*условия!$E$43/(1+условия!$E$43)+(-SUM(BD10:BD15)-BD17*$H$20-BD20-BD18*$H$23-BD23-BD36-BD39)*условия!$E$56/(1+условия!$E$56)-BD19,(-SUM(BD10:BD15)-BD17*$H$20-BD20-BD18*$H$23-BD23-BD36-BD39)*условия!$E$56/(1+условия!$E$56)-BD19)</f>
        <v>1670849.2094861662</v>
      </c>
      <c r="BE44" s="7">
        <f>IF($C$44=условия!$C$9,BE26*условия!$E$37/(1+условия!$E$37)+BE27*условия!$E$52/(1+условия!$E$52)+BE28*условия!$E$54/(1+условия!$E$54)+BE29*условия!$E$43/(1+условия!$E$43)+(-SUM(BE10:BE15)-BE17*$H$20-BE20-BE18*$H$23-BE23-BE36-BE39)*условия!$E$56/(1+условия!$E$56)-BE19,(-SUM(BE10:BE15)-BE17*$H$20-BE20-BE18*$H$23-BE23-BE36-BE39)*условия!$E$56/(1+условия!$E$56)-BE19)</f>
        <v>1774373.3366271402</v>
      </c>
      <c r="BF44" s="7">
        <f>IF($C$44=условия!$C$9,BF26*условия!$E$37/(1+условия!$E$37)+BF27*условия!$E$52/(1+условия!$E$52)+BF28*условия!$E$54/(1+условия!$E$54)+BF29*условия!$E$43/(1+условия!$E$43)+(-SUM(BF10:BF15)-BF17*$H$20-BF20-BF18*$H$23-BF23-BF36-BF39)*условия!$E$56/(1+условия!$E$56)-BF19,(-SUM(BF10:BF15)-BF17*$H$20-BF20-BF18*$H$23-BF23-BF36-BF39)*условия!$E$56/(1+условия!$E$56)-BF19)</f>
        <v>1790300.12541806</v>
      </c>
      <c r="BG44" s="7">
        <f>IF($C$44=условия!$C$9,BG26*условия!$E$37/(1+условия!$E$37)+BG27*условия!$E$52/(1+условия!$E$52)+BG28*условия!$E$54/(1+условия!$E$54)+BG29*условия!$E$43/(1+условия!$E$43)+(-SUM(BG10:BG15)-BG17*$H$20-BG20-BG18*$H$23-BG23-BG36-BG39)*условия!$E$56/(1+условия!$E$56)-BG19,(-SUM(BG10:BG15)-BG17*$H$20-BG20-BG18*$H$23-BG23-BG36-BG39)*условия!$E$56/(1+условия!$E$56)-BG19)</f>
        <v>1702702.7870680043</v>
      </c>
      <c r="BH44" s="7">
        <f>IF($C$44=условия!$C$9,BH26*условия!$E$37/(1+условия!$E$37)+BH27*условия!$E$52/(1+условия!$E$52)+BH28*условия!$E$54/(1+условия!$E$54)+BH29*условия!$E$43/(1+условия!$E$43)+(-SUM(BH10:BH15)-BH17*$H$20-BH20-BH18*$H$23-BH23-BH36-BH39)*условия!$E$56/(1+условия!$E$56)-BH19,(-SUM(BH10:BH15)-BH17*$H$20-BH20-BH18*$H$23-BH23-BH36-BH39)*условия!$E$56/(1+условия!$E$56)-BH19)</f>
        <v>2098438.782051282</v>
      </c>
      <c r="BI44" s="7">
        <f>IF($C$44=условия!$C$9,BI26*условия!$E$37/(1+условия!$E$37)+BI27*условия!$E$52/(1+условия!$E$52)+BI28*условия!$E$54/(1+условия!$E$54)+BI29*условия!$E$43/(1+условия!$E$43)+(-SUM(BI10:BI15)-BI17*$H$20-BI20-BI18*$H$23-BI23-BI36-BI39)*условия!$E$56/(1+условия!$E$56)-BI19,(-SUM(BI10:BI15)-BI17*$H$20-BI20-BI18*$H$23-BI23-BI36-BI39)*условия!$E$56/(1+условия!$E$56)-BI19)</f>
        <v>2010841.443701226</v>
      </c>
      <c r="BJ44" s="7">
        <f>IF($C$44=условия!$C$9,BJ26*условия!$E$37/(1+условия!$E$37)+BJ27*условия!$E$52/(1+условия!$E$52)+BJ28*условия!$E$54/(1+условия!$E$54)+BJ29*условия!$E$43/(1+условия!$E$43)+(-SUM(BJ10:BJ15)-BJ17*$H$20-BJ20-BJ18*$H$23-BJ23-BJ36-BJ39)*условия!$E$56/(1+условия!$E$56)-BJ19,(-SUM(BJ10:BJ15)-BJ17*$H$20-BJ20-BJ18*$H$23-BJ23-BJ36-BJ39)*условия!$E$56/(1+условия!$E$56)-BJ19)</f>
        <v>1923244.1053511705</v>
      </c>
      <c r="BK44" s="7">
        <f>IF($C$44=условия!$C$9,BK26*условия!$E$37/(1+условия!$E$37)+BK27*условия!$E$52/(1+условия!$E$52)+BK28*условия!$E$54/(1+условия!$E$54)+BK29*условия!$E$43/(1+условия!$E$43)+(-SUM(BK10:BK15)-BK17*$H$20-BK20-BK18*$H$23-BK23-BK36-BK39)*условия!$E$56/(1+условия!$E$56)-BK19,(-SUM(BK10:BK15)-BK17*$H$20-BK20-BK18*$H$23-BK23-BK36-BK39)*условия!$E$56/(1+условия!$E$56)-BK19)</f>
        <v>1835646.7670011143</v>
      </c>
      <c r="BL44" s="7">
        <f>IF($C$44=условия!$C$9,BL26*условия!$E$37/(1+условия!$E$37)+BL27*условия!$E$52/(1+условия!$E$52)+BL28*условия!$E$54/(1+условия!$E$54)+BL29*условия!$E$43/(1+условия!$E$43)+(-SUM(BL10:BL15)-BL17*$H$20-BL20-BL18*$H$23-BL23-BL36-BL39)*условия!$E$56/(1+условия!$E$56)-BL19,(-SUM(BL10:BL15)-BL17*$H$20-BL20-BL18*$H$23-BL23-BL36-BL39)*условия!$E$56/(1+условия!$E$56)-BL19)</f>
        <v>1748049.4286510588</v>
      </c>
      <c r="BM44" s="7">
        <f>IF($C$44=условия!$C$9,BM26*условия!$E$37/(1+условия!$E$37)+BM27*условия!$E$52/(1+условия!$E$52)+BM28*условия!$E$54/(1+условия!$E$54)+BM29*условия!$E$43/(1+условия!$E$43)+(-SUM(BM10:BM15)-BM17*$H$20-BM20-BM18*$H$23-BM23-BM36-BM39)*условия!$E$56/(1+условия!$E$56)-BM19,(-SUM(BM10:BM15)-BM17*$H$20-BM20-BM18*$H$23-BM23-BM36-BM39)*условия!$E$56/(1+условия!$E$56)-BM19)</f>
        <v>1660452.0903010031</v>
      </c>
      <c r="BN44" s="7">
        <f>IF($C$44=условия!$C$9,BN26*условия!$E$37/(1+условия!$E$37)+BN27*условия!$E$52/(1+условия!$E$52)+BN28*условия!$E$54/(1+условия!$E$54)+BN29*условия!$E$43/(1+условия!$E$43)+(-SUM(BN10:BN15)-BN17*$H$20-BN20-BN18*$H$23-BN23-BN36-BN39)*условия!$E$56/(1+условия!$E$56)-BN19,(-SUM(BN10:BN15)-BN17*$H$20-BN20-BN18*$H$23-BN23-BN36-BN39)*условия!$E$56/(1+условия!$E$56)-BN19)</f>
        <v>1572854.7519509471</v>
      </c>
      <c r="BO44" s="7">
        <f>IF($C$44=условия!$C$9,BO26*условия!$E$37/(1+условия!$E$37)+BO27*условия!$E$52/(1+условия!$E$52)+BO28*условия!$E$54/(1+условия!$E$54)+BO29*условия!$E$43/(1+условия!$E$43)+(-SUM(BO10:BO15)-BO17*$H$20-BO20-BO18*$H$23-BO23-BO36-BO39)*условия!$E$56/(1+условия!$E$56)-BO19,(-SUM(BO10:BO15)-BO17*$H$20-BO20-BO18*$H$23-BO23-BO36-BO39)*условия!$E$56/(1+условия!$E$56)-BO19)</f>
        <v>1485257.4136008918</v>
      </c>
      <c r="BP44" s="7">
        <f>IF($C$44=условия!$C$9,BP26*условия!$E$37/(1+условия!$E$37)+BP27*условия!$E$52/(1+условия!$E$52)+BP28*условия!$E$54/(1+условия!$E$54)+BP29*условия!$E$43/(1+условия!$E$43)+(-SUM(BP10:BP15)-BP17*$H$20-BP20-BP18*$H$23-BP23-BP36-BP39)*условия!$E$56/(1+условия!$E$56)-BP19,(-SUM(BP10:BP15)-BP17*$H$20-BP20-BP18*$H$23-BP23-BP36-BP39)*условия!$E$56/(1+условия!$E$56)-BP19)</f>
        <v>1397660.0752508361</v>
      </c>
      <c r="BQ44" s="7">
        <f>IF($C$44=условия!$C$9,BQ26*условия!$E$37/(1+условия!$E$37)+BQ27*условия!$E$52/(1+условия!$E$52)+BQ28*условия!$E$54/(1+условия!$E$54)+BQ29*условия!$E$43/(1+условия!$E$43)+(-SUM(BQ10:BQ15)-BQ17*$H$20-BQ20-BQ18*$H$23-BQ23-BQ36-BQ39)*условия!$E$56/(1+условия!$E$56)-BQ19,(-SUM(BQ10:BQ15)-BQ17*$H$20-BQ20-BQ18*$H$23-BQ23-BQ36-BQ39)*условия!$E$56/(1+условия!$E$56)-BQ19)</f>
        <v>1310062.7369007803</v>
      </c>
      <c r="BR44" s="7">
        <f>IF($C$44=условия!$C$9,BR26*условия!$E$37/(1+условия!$E$37)+BR27*условия!$E$52/(1+условия!$E$52)+BR28*условия!$E$54/(1+условия!$E$54)+BR29*условия!$E$43/(1+условия!$E$43)+(-SUM(BR10:BR15)-BR17*$H$20-BR20-BR18*$H$23-BR23-BR36-BR39)*условия!$E$56/(1+условия!$E$56)-BR19,(-SUM(BR10:BR15)-BR17*$H$20-BR20-BR18*$H$23-BR23-BR36-BR39)*условия!$E$56/(1+условия!$E$56)-BR19)</f>
        <v>1222465.3985507246</v>
      </c>
      <c r="BS44" s="7">
        <f>IF($C$44=условия!$C$9,BS26*условия!$E$37/(1+условия!$E$37)+BS27*условия!$E$52/(1+условия!$E$52)+BS28*условия!$E$54/(1+условия!$E$54)+BS29*условия!$E$43/(1+условия!$E$43)+(-SUM(BS10:BS15)-BS17*$H$20-BS20-BS18*$H$23-BS23-BS36-BS39)*условия!$E$56/(1+условия!$E$56)-BS19,(-SUM(BS10:BS15)-BS17*$H$20-BS20-BS18*$H$23-BS23-BS36-BS39)*условия!$E$56/(1+условия!$E$56)-BS19)</f>
        <v>1134868.0602006689</v>
      </c>
      <c r="BT44" s="7">
        <f>IF($C$44=условия!$C$9,BT26*условия!$E$37/(1+условия!$E$37)+BT27*условия!$E$52/(1+условия!$E$52)+BT28*условия!$E$54/(1+условия!$E$54)+BT29*условия!$E$43/(1+условия!$E$43)+(-SUM(BT10:BT15)-BT17*$H$20-BT20-BT18*$H$23-BT23-BT36-BT39)*условия!$E$56/(1+условия!$E$56)-BT19,(-SUM(BT10:BT15)-BT17*$H$20-BT20-BT18*$H$23-BT23-BT36-BT39)*условия!$E$56/(1+условия!$E$56)-BT19)</f>
        <v>1047270.721850613</v>
      </c>
      <c r="BU44" s="7">
        <f>IF($C$44=условия!$C$9,BU26*условия!$E$37/(1+условия!$E$37)+BU27*условия!$E$52/(1+условия!$E$52)+BU28*условия!$E$54/(1+условия!$E$54)+BU29*условия!$E$43/(1+условия!$E$43)+(-SUM(BU10:BU15)-BU17*$H$20-BU20-BU18*$H$23-BU23-BU36-BU39)*условия!$E$56/(1+условия!$E$56)-BU19,(-SUM(BU10:BU15)-BU17*$H$20-BU20-BU18*$H$23-BU23-BU36-BU39)*условия!$E$56/(1+условия!$E$56)-BU19)</f>
        <v>959673.38350055716</v>
      </c>
      <c r="BV44" s="7">
        <f>IF($C$44=условия!$C$9,BV26*условия!$E$37/(1+условия!$E$37)+BV27*условия!$E$52/(1+условия!$E$52)+BV28*условия!$E$54/(1+условия!$E$54)+BV29*условия!$E$43/(1+условия!$E$43)+(-SUM(BV10:BV15)-BV17*$H$20-BV20-BV18*$H$23-BV23-BV36-BV39)*условия!$E$56/(1+условия!$E$56)-BV19,(-SUM(BV10:BV15)-BV17*$H$20-BV20-BV18*$H$23-BV23-BV36-BV39)*условия!$E$56/(1+условия!$E$56)-BV19)</f>
        <v>872076.04515050154</v>
      </c>
      <c r="BW44" s="7">
        <f>IF($C$44=условия!$C$9,BW26*условия!$E$37/(1+условия!$E$37)+BW27*условия!$E$52/(1+условия!$E$52)+BW28*условия!$E$54/(1+условия!$E$54)+BW29*условия!$E$43/(1+условия!$E$43)+(-SUM(BW10:BW15)-BW17*$H$20-BW20-BW18*$H$23-BW23-BW36-BW39)*условия!$E$56/(1+условия!$E$56)-BW19,(-SUM(BW10:BW15)-BW17*$H$20-BW20-BW18*$H$23-BW23-BW36-BW39)*условия!$E$56/(1+условия!$E$56)-BW19)</f>
        <v>784478.70680044591</v>
      </c>
      <c r="BX44" s="7">
        <f>IF($C$44=условия!$C$9,BX26*условия!$E$37/(1+условия!$E$37)+BX27*условия!$E$52/(1+условия!$E$52)+BX28*условия!$E$54/(1+условия!$E$54)+BX29*условия!$E$43/(1+условия!$E$43)+(-SUM(BX10:BX15)-BX17*$H$20-BX20-BX18*$H$23-BX23-BX36-BX39)*условия!$E$56/(1+условия!$E$56)-BX19,(-SUM(BX10:BX15)-BX17*$H$20-BX20-BX18*$H$23-BX23-BX36-BX39)*условия!$E$56/(1+условия!$E$56)-BX19)</f>
        <v>696881.36845039017</v>
      </c>
      <c r="BY44" s="7">
        <f>IF($C$44=условия!$C$9,BY26*условия!$E$37/(1+условия!$E$37)+BY27*условия!$E$52/(1+условия!$E$52)+BY28*условия!$E$54/(1+условия!$E$54)+BY29*условия!$E$43/(1+условия!$E$43)+(-SUM(BY10:BY15)-BY17*$H$20-BY20-BY18*$H$23-BY23-BY36-BY39)*условия!$E$56/(1+условия!$E$56)-BY19,(-SUM(BY10:BY15)-BY17*$H$20-BY20-BY18*$H$23-BY23-BY36-BY39)*условия!$E$56/(1+условия!$E$56)-BY19)</f>
        <v>609284.03010033444</v>
      </c>
      <c r="BZ44" s="7">
        <f>IF($C$44=условия!$C$9,BZ26*условия!$E$37/(1+условия!$E$37)+BZ27*условия!$E$52/(1+условия!$E$52)+BZ28*условия!$E$54/(1+условия!$E$54)+BZ29*условия!$E$43/(1+условия!$E$43)+(-SUM(BZ10:BZ15)-BZ17*$H$20-BZ20-BZ18*$H$23-BZ23-BZ36-BZ39)*условия!$E$56/(1+условия!$E$56)-BZ19,(-SUM(BZ10:BZ15)-BZ17*$H$20-BZ20-BZ18*$H$23-BZ23-BZ36-BZ39)*условия!$E$56/(1+условия!$E$56)-BZ19)</f>
        <v>521686.69175027858</v>
      </c>
      <c r="CA44" s="7">
        <f>IF($C$44=условия!$C$9,CA26*условия!$E$37/(1+условия!$E$37)+CA27*условия!$E$52/(1+условия!$E$52)+CA28*условия!$E$54/(1+условия!$E$54)+CA29*условия!$E$43/(1+условия!$E$43)+(-SUM(CA10:CA15)-CA17*$H$20-CA20-CA18*$H$23-CA23-CA36-CA39)*условия!$E$56/(1+условия!$E$56)-CA19,(-SUM(CA10:CA15)-CA17*$H$20-CA20-CA18*$H$23-CA23-CA36-CA39)*условия!$E$56/(1+условия!$E$56)-CA19)</f>
        <v>434089.35340022296</v>
      </c>
      <c r="CB44" s="7">
        <f>IF($C$44=условия!$C$9,CB26*условия!$E$37/(1+условия!$E$37)+CB27*условия!$E$52/(1+условия!$E$52)+CB28*условия!$E$54/(1+условия!$E$54)+CB29*условия!$E$43/(1+условия!$E$43)+(-SUM(CB10:CB15)-CB17*$H$20-CB20-CB18*$H$23-CB23-CB36-CB39)*условия!$E$56/(1+условия!$E$56)-CB19,(-SUM(CB10:CB15)-CB17*$H$20-CB20-CB18*$H$23-CB23-CB36-CB39)*условия!$E$56/(1+условия!$E$56)-CB19)</f>
        <v>346492.01505016722</v>
      </c>
      <c r="CC44" s="7">
        <f>IF($C$44=условия!$C$9,CC26*условия!$E$37/(1+условия!$E$37)+CC27*условия!$E$52/(1+условия!$E$52)+CC28*условия!$E$54/(1+условия!$E$54)+CC29*условия!$E$43/(1+условия!$E$43)+(-SUM(CC10:CC15)-CC17*$H$20-CC20-CC18*$H$23-CC23-CC36-CC39)*условия!$E$56/(1+условия!$E$56)-CC19,(-SUM(CC10:CC15)-CC17*$H$20-CC20-CC18*$H$23-CC23-CC36-CC39)*условия!$E$56/(1+условия!$E$56)-CC19)</f>
        <v>258894.67670011148</v>
      </c>
      <c r="CD44" s="7">
        <f>IF($C$44=условия!$C$9,CD26*условия!$E$37/(1+условия!$E$37)+CD27*условия!$E$52/(1+условия!$E$52)+CD28*условия!$E$54/(1+условия!$E$54)+CD29*условия!$E$43/(1+условия!$E$43)+(-SUM(CD10:CD15)-CD17*$H$20-CD20-CD18*$H$23-CD23-CD36-CD39)*условия!$E$56/(1+условия!$E$56)-CD19,(-SUM(CD10:CD15)-CD17*$H$20-CD20-CD18*$H$23-CD23-CD36-CD39)*условия!$E$56/(1+условия!$E$56)-CD19)</f>
        <v>171297.33835005577</v>
      </c>
      <c r="CE44" s="7">
        <f>IF($C$44=условия!$C$9,CE26*условия!$E$37/(1+условия!$E$37)+CE27*условия!$E$52/(1+условия!$E$52)+CE28*условия!$E$54/(1+условия!$E$54)+CE29*условия!$E$43/(1+условия!$E$43)+(-SUM(CE10:CE15)-CE17*$H$20-CE20-CE18*$H$23-CE23-CE36-CE39)*условия!$E$56/(1+условия!$E$56)-CE19,(-SUM(CE10:CE15)-CE17*$H$20-CE20-CE18*$H$23-CE23-CE36-CE39)*условия!$E$56/(1+условия!$E$56)-CE19)</f>
        <v>83700.000000000029</v>
      </c>
    </row>
    <row r="45" spans="3:83" s="3" customFormat="1">
      <c r="C45" s="3" t="str">
        <f>IF(условия!$E$9=1,условия!$C$9,IF(условия!$E$10=1,условия!$C$10,IF(условия!$E$11=1,условия!$C$11,"")))</f>
        <v>ОСНО</v>
      </c>
      <c r="E45" s="3" t="s">
        <v>30</v>
      </c>
      <c r="G45" s="33"/>
      <c r="I45" s="9" t="s">
        <v>17</v>
      </c>
      <c r="J45" s="43">
        <f>J44</f>
        <v>-144567654.62962961</v>
      </c>
      <c r="K45" s="69"/>
      <c r="L45" s="7">
        <f t="shared" ref="L45:AQ45" si="36">L25*$J$45/$J$25</f>
        <v>0</v>
      </c>
      <c r="M45" s="7">
        <f t="shared" si="36"/>
        <v>0</v>
      </c>
      <c r="N45" s="7">
        <f t="shared" si="36"/>
        <v>0</v>
      </c>
      <c r="O45" s="7">
        <f t="shared" si="36"/>
        <v>0</v>
      </c>
      <c r="P45" s="7">
        <f t="shared" si="36"/>
        <v>0</v>
      </c>
      <c r="Q45" s="7">
        <f t="shared" si="36"/>
        <v>0</v>
      </c>
      <c r="R45" s="7">
        <f t="shared" si="36"/>
        <v>0</v>
      </c>
      <c r="S45" s="7">
        <f t="shared" si="36"/>
        <v>0</v>
      </c>
      <c r="T45" s="7">
        <f t="shared" si="36"/>
        <v>0</v>
      </c>
      <c r="U45" s="7">
        <f t="shared" si="36"/>
        <v>0</v>
      </c>
      <c r="V45" s="7">
        <f t="shared" si="36"/>
        <v>0</v>
      </c>
      <c r="W45" s="7">
        <f t="shared" si="36"/>
        <v>0</v>
      </c>
      <c r="X45" s="7">
        <f t="shared" si="36"/>
        <v>0</v>
      </c>
      <c r="Y45" s="7">
        <f t="shared" si="36"/>
        <v>0</v>
      </c>
      <c r="Z45" s="7">
        <f t="shared" si="36"/>
        <v>0</v>
      </c>
      <c r="AA45" s="7">
        <f t="shared" si="36"/>
        <v>0</v>
      </c>
      <c r="AB45" s="7">
        <f t="shared" si="36"/>
        <v>0</v>
      </c>
      <c r="AC45" s="7">
        <f t="shared" si="36"/>
        <v>0</v>
      </c>
      <c r="AD45" s="7">
        <f t="shared" si="36"/>
        <v>0</v>
      </c>
      <c r="AE45" s="7">
        <f t="shared" si="36"/>
        <v>0</v>
      </c>
      <c r="AF45" s="7">
        <f t="shared" si="36"/>
        <v>0</v>
      </c>
      <c r="AG45" s="7">
        <f t="shared" si="36"/>
        <v>0</v>
      </c>
      <c r="AH45" s="7">
        <f t="shared" si="36"/>
        <v>0</v>
      </c>
      <c r="AI45" s="7">
        <f t="shared" si="36"/>
        <v>0</v>
      </c>
      <c r="AJ45" s="7">
        <f t="shared" si="36"/>
        <v>0</v>
      </c>
      <c r="AK45" s="7">
        <f t="shared" si="36"/>
        <v>-283705.17386612261</v>
      </c>
      <c r="AL45" s="7">
        <f t="shared" si="36"/>
        <v>-567410.34773224522</v>
      </c>
      <c r="AM45" s="7">
        <f t="shared" si="36"/>
        <v>-851115.52159836784</v>
      </c>
      <c r="AN45" s="7">
        <f t="shared" si="36"/>
        <v>-1134820.6954644904</v>
      </c>
      <c r="AO45" s="7">
        <f t="shared" si="36"/>
        <v>-1418525.8693306129</v>
      </c>
      <c r="AP45" s="7">
        <f t="shared" si="36"/>
        <v>-1702231.0431967357</v>
      </c>
      <c r="AQ45" s="7">
        <f t="shared" si="36"/>
        <v>-1985936.2170628584</v>
      </c>
      <c r="AR45" s="7">
        <f t="shared" ref="AR45:BW45" si="37">AR25*$J$45/$J$25</f>
        <v>-2269641.3909289809</v>
      </c>
      <c r="AS45" s="7">
        <f t="shared" si="37"/>
        <v>-2553346.5647951034</v>
      </c>
      <c r="AT45" s="7">
        <f t="shared" si="37"/>
        <v>-2837051.7386612259</v>
      </c>
      <c r="AU45" s="7">
        <f t="shared" si="37"/>
        <v>-3120756.9125273484</v>
      </c>
      <c r="AV45" s="7">
        <f t="shared" si="37"/>
        <v>-3404462.0863934713</v>
      </c>
      <c r="AW45" s="7">
        <f t="shared" si="37"/>
        <v>-3688167.2602595943</v>
      </c>
      <c r="AX45" s="7">
        <f t="shared" si="37"/>
        <v>-3971872.4341257168</v>
      </c>
      <c r="AY45" s="7">
        <f t="shared" si="37"/>
        <v>-4286269.6277909772</v>
      </c>
      <c r="AZ45" s="7">
        <f t="shared" si="37"/>
        <v>-4569974.8016571002</v>
      </c>
      <c r="BA45" s="7">
        <f t="shared" si="37"/>
        <v>-4853679.9755232232</v>
      </c>
      <c r="BB45" s="7">
        <f t="shared" si="37"/>
        <v>-5137385.1493893452</v>
      </c>
      <c r="BC45" s="7">
        <f t="shared" si="37"/>
        <v>-5421090.3232554682</v>
      </c>
      <c r="BD45" s="7">
        <f t="shared" si="37"/>
        <v>-5704795.4971215902</v>
      </c>
      <c r="BE45" s="7">
        <f t="shared" si="37"/>
        <v>-5988500.6709877132</v>
      </c>
      <c r="BF45" s="7">
        <f t="shared" si="37"/>
        <v>-6032147.6208132701</v>
      </c>
      <c r="BG45" s="7">
        <f t="shared" si="37"/>
        <v>-5792089.3967727041</v>
      </c>
      <c r="BH45" s="7">
        <f t="shared" si="37"/>
        <v>-5552031.1727321399</v>
      </c>
      <c r="BI45" s="7">
        <f t="shared" si="37"/>
        <v>-5311972.9486915749</v>
      </c>
      <c r="BJ45" s="7">
        <f t="shared" si="37"/>
        <v>-5071914.7246510098</v>
      </c>
      <c r="BK45" s="7">
        <f t="shared" si="37"/>
        <v>-4831856.5006104438</v>
      </c>
      <c r="BL45" s="7">
        <f t="shared" si="37"/>
        <v>-4591798.2765698787</v>
      </c>
      <c r="BM45" s="7">
        <f t="shared" si="37"/>
        <v>-4351740.0525293136</v>
      </c>
      <c r="BN45" s="7">
        <f t="shared" si="37"/>
        <v>-4111681.8284887485</v>
      </c>
      <c r="BO45" s="7">
        <f t="shared" si="37"/>
        <v>-3871623.6044481825</v>
      </c>
      <c r="BP45" s="7">
        <f t="shared" si="37"/>
        <v>-3631565.380407617</v>
      </c>
      <c r="BQ45" s="7">
        <f t="shared" si="37"/>
        <v>-3391507.1563670523</v>
      </c>
      <c r="BR45" s="7">
        <f t="shared" si="37"/>
        <v>-3151448.9323264868</v>
      </c>
      <c r="BS45" s="7">
        <f t="shared" si="37"/>
        <v>-2911390.7082859213</v>
      </c>
      <c r="BT45" s="7">
        <f t="shared" si="37"/>
        <v>-2671332.4842453566</v>
      </c>
      <c r="BU45" s="7">
        <f t="shared" si="37"/>
        <v>-2431274.2602047916</v>
      </c>
      <c r="BV45" s="7">
        <f t="shared" si="37"/>
        <v>-2191216.036164226</v>
      </c>
      <c r="BW45" s="7">
        <f t="shared" si="37"/>
        <v>-1951157.8121236605</v>
      </c>
      <c r="BX45" s="7">
        <f t="shared" ref="BX45:CE45" si="38">BX25*$J$45/$J$25</f>
        <v>-1711099.5880830954</v>
      </c>
      <c r="BY45" s="7">
        <f t="shared" si="38"/>
        <v>-1471041.3640425301</v>
      </c>
      <c r="BZ45" s="7">
        <f t="shared" si="38"/>
        <v>-1230983.140001965</v>
      </c>
      <c r="CA45" s="7">
        <f t="shared" si="38"/>
        <v>-990924.91596139956</v>
      </c>
      <c r="CB45" s="7">
        <f t="shared" si="38"/>
        <v>-750866.69192083436</v>
      </c>
      <c r="CC45" s="7">
        <f t="shared" si="38"/>
        <v>-510808.46788026905</v>
      </c>
      <c r="CD45" s="7">
        <f t="shared" si="38"/>
        <v>-270750.24383970391</v>
      </c>
      <c r="CE45" s="7">
        <f t="shared" si="38"/>
        <v>-30692.019799138605</v>
      </c>
    </row>
    <row r="46" spans="3:83">
      <c r="C46" s="4" t="str">
        <f>IF(условия!$E$9=1,условия!$C$9,IF(условия!$E$10=1,условия!$C$10,IF(условия!$E$11=1,условия!$C$11,"")))</f>
        <v>ОСНО</v>
      </c>
    </row>
    <row r="47" spans="3:83" s="3" customFormat="1">
      <c r="C47" s="3" t="str">
        <f>IF(условия!$E$9=1,условия!$C$9,IF(условия!$E$10=1,условия!$C$10,IF(условия!$E$11=1,условия!$C$11,"")))</f>
        <v>ОСНО</v>
      </c>
      <c r="E47" s="3" t="s">
        <v>44</v>
      </c>
      <c r="G47" s="33"/>
      <c r="I47" s="9" t="s">
        <v>17</v>
      </c>
      <c r="J47" s="43">
        <f>SUM($K47:$CF47)</f>
        <v>512797849.19111377</v>
      </c>
      <c r="K47" s="69"/>
      <c r="L47" s="7">
        <f>L33-L35+L41-L42-L45</f>
        <v>0</v>
      </c>
      <c r="M47" s="7">
        <f t="shared" ref="M47:BX47" si="39">M33-M35+M41-M42-M45</f>
        <v>0</v>
      </c>
      <c r="N47" s="7">
        <f t="shared" si="39"/>
        <v>0</v>
      </c>
      <c r="O47" s="7">
        <f t="shared" si="39"/>
        <v>0</v>
      </c>
      <c r="P47" s="7">
        <f t="shared" si="39"/>
        <v>0</v>
      </c>
      <c r="Q47" s="7">
        <f t="shared" si="39"/>
        <v>0</v>
      </c>
      <c r="R47" s="7">
        <f t="shared" si="39"/>
        <v>0</v>
      </c>
      <c r="S47" s="7">
        <f t="shared" si="39"/>
        <v>0</v>
      </c>
      <c r="T47" s="7">
        <f t="shared" si="39"/>
        <v>0</v>
      </c>
      <c r="U47" s="7">
        <f t="shared" si="39"/>
        <v>0</v>
      </c>
      <c r="V47" s="7">
        <f t="shared" si="39"/>
        <v>0</v>
      </c>
      <c r="W47" s="7">
        <f t="shared" si="39"/>
        <v>0</v>
      </c>
      <c r="X47" s="7">
        <f t="shared" si="39"/>
        <v>0</v>
      </c>
      <c r="Y47" s="7">
        <f t="shared" si="39"/>
        <v>0</v>
      </c>
      <c r="Z47" s="7">
        <f t="shared" si="39"/>
        <v>0</v>
      </c>
      <c r="AA47" s="7">
        <f t="shared" si="39"/>
        <v>0</v>
      </c>
      <c r="AB47" s="7">
        <f t="shared" si="39"/>
        <v>0</v>
      </c>
      <c r="AC47" s="7">
        <f t="shared" si="39"/>
        <v>0</v>
      </c>
      <c r="AD47" s="7">
        <f t="shared" si="39"/>
        <v>0</v>
      </c>
      <c r="AE47" s="7">
        <f t="shared" si="39"/>
        <v>0</v>
      </c>
      <c r="AF47" s="7">
        <f t="shared" si="39"/>
        <v>0</v>
      </c>
      <c r="AG47" s="7">
        <f t="shared" si="39"/>
        <v>-17500</v>
      </c>
      <c r="AH47" s="7">
        <f t="shared" si="39"/>
        <v>-52750</v>
      </c>
      <c r="AI47" s="7">
        <f t="shared" si="39"/>
        <v>-975489.84499999974</v>
      </c>
      <c r="AJ47" s="7">
        <f t="shared" si="39"/>
        <v>-2157345.6714814813</v>
      </c>
      <c r="AK47" s="7">
        <f t="shared" si="39"/>
        <v>-1787468.9455664158</v>
      </c>
      <c r="AL47" s="7">
        <f t="shared" si="39"/>
        <v>-1342722.5115726388</v>
      </c>
      <c r="AM47" s="7">
        <f t="shared" si="39"/>
        <v>-823106.36950015102</v>
      </c>
      <c r="AN47" s="7">
        <f t="shared" si="39"/>
        <v>-228620.5193489478</v>
      </c>
      <c r="AO47" s="7">
        <f t="shared" si="39"/>
        <v>440735.03888096474</v>
      </c>
      <c r="AP47" s="7">
        <f t="shared" si="39"/>
        <v>1184078.8351118302</v>
      </c>
      <c r="AQ47" s="7">
        <f t="shared" si="39"/>
        <v>2000805.6518289442</v>
      </c>
      <c r="AR47" s="7">
        <f t="shared" si="39"/>
        <v>2890768.7229913408</v>
      </c>
      <c r="AS47" s="7">
        <f t="shared" si="39"/>
        <v>3848821.5760901147</v>
      </c>
      <c r="AT47" s="7">
        <f t="shared" si="39"/>
        <v>4880661.3648947496</v>
      </c>
      <c r="AU47" s="7">
        <f t="shared" si="39"/>
        <v>5985307.1822004747</v>
      </c>
      <c r="AV47" s="7">
        <f t="shared" si="39"/>
        <v>7162613.4159503132</v>
      </c>
      <c r="AW47" s="7">
        <f t="shared" si="39"/>
        <v>8412434.7453113608</v>
      </c>
      <c r="AX47" s="7">
        <f t="shared" si="39"/>
        <v>8851844.996505931</v>
      </c>
      <c r="AY47" s="7">
        <f t="shared" si="39"/>
        <v>10948102.847274944</v>
      </c>
      <c r="AZ47" s="7">
        <f t="shared" si="39"/>
        <v>12859910.640639309</v>
      </c>
      <c r="BA47" s="7">
        <f t="shared" si="39"/>
        <v>14783008.329518579</v>
      </c>
      <c r="BB47" s="7">
        <f t="shared" si="39"/>
        <v>16752825.824093845</v>
      </c>
      <c r="BC47" s="7">
        <f t="shared" si="39"/>
        <v>18769807.742631033</v>
      </c>
      <c r="BD47" s="7">
        <f t="shared" si="39"/>
        <v>20834332.289758373</v>
      </c>
      <c r="BE47" s="7">
        <f t="shared" si="39"/>
        <v>22946780.562913839</v>
      </c>
      <c r="BF47" s="7">
        <f t="shared" si="39"/>
        <v>23977189.710952971</v>
      </c>
      <c r="BG47" s="7">
        <f t="shared" si="39"/>
        <v>23681754.739596777</v>
      </c>
      <c r="BH47" s="7">
        <f t="shared" si="39"/>
        <v>23353774.213703118</v>
      </c>
      <c r="BI47" s="7">
        <f t="shared" si="39"/>
        <v>23025609.607236832</v>
      </c>
      <c r="BJ47" s="7">
        <f t="shared" si="39"/>
        <v>22663490.837167948</v>
      </c>
      <c r="BK47" s="7">
        <f t="shared" si="39"/>
        <v>22271912.063354902</v>
      </c>
      <c r="BL47" s="7">
        <f t="shared" si="39"/>
        <v>21621110.635650419</v>
      </c>
      <c r="BM47" s="7">
        <f t="shared" si="39"/>
        <v>20490763.632502876</v>
      </c>
      <c r="BN47" s="7">
        <f t="shared" si="39"/>
        <v>19360416.629355341</v>
      </c>
      <c r="BO47" s="7">
        <f t="shared" si="39"/>
        <v>18230069.626207791</v>
      </c>
      <c r="BP47" s="7">
        <f t="shared" si="39"/>
        <v>17099722.623060245</v>
      </c>
      <c r="BQ47" s="7">
        <f t="shared" si="39"/>
        <v>15969375.619912708</v>
      </c>
      <c r="BR47" s="7">
        <f t="shared" si="39"/>
        <v>14839028.616765162</v>
      </c>
      <c r="BS47" s="7">
        <f t="shared" si="39"/>
        <v>13708681.613617621</v>
      </c>
      <c r="BT47" s="7">
        <f t="shared" si="39"/>
        <v>12578334.610470071</v>
      </c>
      <c r="BU47" s="7">
        <f t="shared" si="39"/>
        <v>11447987.607322535</v>
      </c>
      <c r="BV47" s="7">
        <f t="shared" si="39"/>
        <v>10317640.604174988</v>
      </c>
      <c r="BW47" s="7">
        <f t="shared" si="39"/>
        <v>9187293.6010274403</v>
      </c>
      <c r="BX47" s="7">
        <f t="shared" si="39"/>
        <v>8056946.5978799034</v>
      </c>
      <c r="BY47" s="7">
        <f t="shared" ref="BY47:CE47" si="40">BY33-BY35+BY41-BY42-BY45</f>
        <v>6926599.5947323563</v>
      </c>
      <c r="BZ47" s="7">
        <f t="shared" si="40"/>
        <v>5796252.5915848138</v>
      </c>
      <c r="CA47" s="7">
        <f t="shared" si="40"/>
        <v>4665905.5884372694</v>
      </c>
      <c r="CB47" s="7">
        <f t="shared" si="40"/>
        <v>3535558.585289727</v>
      </c>
      <c r="CC47" s="7">
        <f t="shared" si="40"/>
        <v>2405211.5821421826</v>
      </c>
      <c r="CD47" s="7">
        <f t="shared" si="40"/>
        <v>1274864.5789946392</v>
      </c>
      <c r="CE47" s="7">
        <f t="shared" si="40"/>
        <v>144517.57584709537</v>
      </c>
    </row>
    <row r="48" spans="3:83">
      <c r="C48" s="4" t="str">
        <f>IF(условия!$E$9=1,условия!$C$9,IF(условия!$E$10=1,условия!$C$10,IF(условия!$E$11=1,условия!$C$11,"")))</f>
        <v>ОСНО</v>
      </c>
    </row>
    <row r="49" spans="3:83" s="3" customFormat="1">
      <c r="C49" s="3" t="str">
        <f>IF(условия!$E$9=1,условия!$C$9,IF(условия!$E$10=1,условия!$C$10,IF(условия!$E$11=1,условия!$C$11,"")))</f>
        <v>ОСНО</v>
      </c>
      <c r="E49" s="3" t="s">
        <v>31</v>
      </c>
      <c r="G49" s="33"/>
      <c r="H49" s="10">
        <f>IF($C$49=условия!$C$9,20%,IF($C$49=условия!$C$10,6%,IF($C$49=условия!$C$11,15%,20%)))</f>
        <v>0.2</v>
      </c>
      <c r="I49" s="9" t="s">
        <v>17</v>
      </c>
      <c r="J49" s="43">
        <f>SUM($K49:$CF49)</f>
        <v>104036570.61071675</v>
      </c>
      <c r="K49" s="69"/>
      <c r="L49" s="7">
        <f>IF($C$49=условия!$C$9,IF(L47&gt;0,L47*$H$49,0),IF($C$49=условия!$C$10,IF(L25&gt;0,L25*$H$49,0),IF($C$49=условия!$C$11,IF(L47&gt;0,L47*$H$49,0),IF(L47&gt;0,L47*$H$49,0))))</f>
        <v>0</v>
      </c>
      <c r="M49" s="7">
        <f>IF($C$49=условия!$C$9,IF(M47&gt;0,M47*$H$49,0),IF($C$49=условия!$C$10,IF(M25&gt;0,M25*$H$49,0),IF($C$49=условия!$C$11,IF(M47&gt;0,M47*$H$49,0),IF(M47&gt;0,M47*$H$49,0))))</f>
        <v>0</v>
      </c>
      <c r="N49" s="7">
        <f>IF($C$49=условия!$C$9,IF(N47&gt;0,N47*$H$49,0),IF($C$49=условия!$C$10,IF(N25&gt;0,N25*$H$49,0),IF($C$49=условия!$C$11,IF(N47&gt;0,N47*$H$49,0),IF(N47&gt;0,N47*$H$49,0))))</f>
        <v>0</v>
      </c>
      <c r="O49" s="7">
        <f>IF($C$49=условия!$C$9,IF(O47&gt;0,O47*$H$49,0),IF($C$49=условия!$C$10,IF(O25&gt;0,O25*$H$49,0),IF($C$49=условия!$C$11,IF(O47&gt;0,O47*$H$49,0),IF(O47&gt;0,O47*$H$49,0))))</f>
        <v>0</v>
      </c>
      <c r="P49" s="7">
        <f>IF($C$49=условия!$C$9,IF(P47&gt;0,P47*$H$49,0),IF($C$49=условия!$C$10,IF(P25&gt;0,P25*$H$49,0),IF($C$49=условия!$C$11,IF(P47&gt;0,P47*$H$49,0),IF(P47&gt;0,P47*$H$49,0))))</f>
        <v>0</v>
      </c>
      <c r="Q49" s="7">
        <f>IF($C$49=условия!$C$9,IF(Q47&gt;0,Q47*$H$49,0),IF($C$49=условия!$C$10,IF(Q25&gt;0,Q25*$H$49,0),IF($C$49=условия!$C$11,IF(Q47&gt;0,Q47*$H$49,0),IF(Q47&gt;0,Q47*$H$49,0))))</f>
        <v>0</v>
      </c>
      <c r="R49" s="7">
        <f>IF($C$49=условия!$C$9,IF(R47&gt;0,R47*$H$49,0),IF($C$49=условия!$C$10,IF(R25&gt;0,R25*$H$49,0),IF($C$49=условия!$C$11,IF(R47&gt;0,R47*$H$49,0),IF(R47&gt;0,R47*$H$49,0))))</f>
        <v>0</v>
      </c>
      <c r="S49" s="7">
        <f>IF($C$49=условия!$C$9,IF(S47&gt;0,S47*$H$49,0),IF($C$49=условия!$C$10,IF(S25&gt;0,S25*$H$49,0),IF($C$49=условия!$C$11,IF(S47&gt;0,S47*$H$49,0),IF(S47&gt;0,S47*$H$49,0))))</f>
        <v>0</v>
      </c>
      <c r="T49" s="7">
        <f>IF($C$49=условия!$C$9,IF(T47&gt;0,T47*$H$49,0),IF($C$49=условия!$C$10,IF(T25&gt;0,T25*$H$49,0),IF($C$49=условия!$C$11,IF(T47&gt;0,T47*$H$49,0),IF(T47&gt;0,T47*$H$49,0))))</f>
        <v>0</v>
      </c>
      <c r="U49" s="7">
        <f>IF($C$49=условия!$C$9,IF(U47&gt;0,U47*$H$49,0),IF($C$49=условия!$C$10,IF(U25&gt;0,U25*$H$49,0),IF($C$49=условия!$C$11,IF(U47&gt;0,U47*$H$49,0),IF(U47&gt;0,U47*$H$49,0))))</f>
        <v>0</v>
      </c>
      <c r="V49" s="7">
        <f>IF($C$49=условия!$C$9,IF(V47&gt;0,V47*$H$49,0),IF($C$49=условия!$C$10,IF(V25&gt;0,V25*$H$49,0),IF($C$49=условия!$C$11,IF(V47&gt;0,V47*$H$49,0),IF(V47&gt;0,V47*$H$49,0))))</f>
        <v>0</v>
      </c>
      <c r="W49" s="7">
        <f>IF($C$49=условия!$C$9,IF(W47&gt;0,W47*$H$49,0),IF($C$49=условия!$C$10,IF(W25&gt;0,W25*$H$49,0),IF($C$49=условия!$C$11,IF(W47&gt;0,W47*$H$49,0),IF(W47&gt;0,W47*$H$49,0))))</f>
        <v>0</v>
      </c>
      <c r="X49" s="7">
        <f>IF($C$49=условия!$C$9,IF(X47&gt;0,X47*$H$49,0),IF($C$49=условия!$C$10,IF(X25&gt;0,X25*$H$49,0),IF($C$49=условия!$C$11,IF(X47&gt;0,X47*$H$49,0),IF(X47&gt;0,X47*$H$49,0))))</f>
        <v>0</v>
      </c>
      <c r="Y49" s="7">
        <f>IF($C$49=условия!$C$9,IF(Y47&gt;0,Y47*$H$49,0),IF($C$49=условия!$C$10,IF(Y25&gt;0,Y25*$H$49,0),IF($C$49=условия!$C$11,IF(Y47&gt;0,Y47*$H$49,0),IF(Y47&gt;0,Y47*$H$49,0))))</f>
        <v>0</v>
      </c>
      <c r="Z49" s="7">
        <f>IF($C$49=условия!$C$9,IF(Z47&gt;0,Z47*$H$49,0),IF($C$49=условия!$C$10,IF(Z25&gt;0,Z25*$H$49,0),IF($C$49=условия!$C$11,IF(Z47&gt;0,Z47*$H$49,0),IF(Z47&gt;0,Z47*$H$49,0))))</f>
        <v>0</v>
      </c>
      <c r="AA49" s="7">
        <f>IF($C$49=условия!$C$9,IF(AA47&gt;0,AA47*$H$49,0),IF($C$49=условия!$C$10,IF(AA25&gt;0,AA25*$H$49,0),IF($C$49=условия!$C$11,IF(AA47&gt;0,AA47*$H$49,0),IF(AA47&gt;0,AA47*$H$49,0))))</f>
        <v>0</v>
      </c>
      <c r="AB49" s="7">
        <f>IF($C$49=условия!$C$9,IF(AB47&gt;0,AB47*$H$49,0),IF($C$49=условия!$C$10,IF(AB25&gt;0,AB25*$H$49,0),IF($C$49=условия!$C$11,IF(AB47&gt;0,AB47*$H$49,0),IF(AB47&gt;0,AB47*$H$49,0))))</f>
        <v>0</v>
      </c>
      <c r="AC49" s="7">
        <f>IF($C$49=условия!$C$9,IF(AC47&gt;0,AC47*$H$49,0),IF($C$49=условия!$C$10,IF(AC25&gt;0,AC25*$H$49,0),IF($C$49=условия!$C$11,IF(AC47&gt;0,AC47*$H$49,0),IF(AC47&gt;0,AC47*$H$49,0))))</f>
        <v>0</v>
      </c>
      <c r="AD49" s="7">
        <f>IF($C$49=условия!$C$9,IF(AD47&gt;0,AD47*$H$49,0),IF($C$49=условия!$C$10,IF(AD25&gt;0,AD25*$H$49,0),IF($C$49=условия!$C$11,IF(AD47&gt;0,AD47*$H$49,0),IF(AD47&gt;0,AD47*$H$49,0))))</f>
        <v>0</v>
      </c>
      <c r="AE49" s="7">
        <f>IF($C$49=условия!$C$9,IF(AE47&gt;0,AE47*$H$49,0),IF($C$49=условия!$C$10,IF(AE25&gt;0,AE25*$H$49,0),IF($C$49=условия!$C$11,IF(AE47&gt;0,AE47*$H$49,0),IF(AE47&gt;0,AE47*$H$49,0))))</f>
        <v>0</v>
      </c>
      <c r="AF49" s="7">
        <f>IF($C$49=условия!$C$9,IF(AF47&gt;0,AF47*$H$49,0),IF($C$49=условия!$C$10,IF(AF25&gt;0,AF25*$H$49,0),IF($C$49=условия!$C$11,IF(AF47&gt;0,AF47*$H$49,0),IF(AF47&gt;0,AF47*$H$49,0))))</f>
        <v>0</v>
      </c>
      <c r="AG49" s="7">
        <f>IF($C$49=условия!$C$9,IF(AG47&gt;0,AG47*$H$49,0),IF($C$49=условия!$C$10,IF(AG25&gt;0,AG25*$H$49,0),IF($C$49=условия!$C$11,IF(AG47&gt;0,AG47*$H$49,0),IF(AG47&gt;0,AG47*$H$49,0))))</f>
        <v>0</v>
      </c>
      <c r="AH49" s="7">
        <f>IF($C$49=условия!$C$9,IF(AH47&gt;0,AH47*$H$49,0),IF($C$49=условия!$C$10,IF(AH25&gt;0,AH25*$H$49,0),IF($C$49=условия!$C$11,IF(AH47&gt;0,AH47*$H$49,0),IF(AH47&gt;0,AH47*$H$49,0))))</f>
        <v>0</v>
      </c>
      <c r="AI49" s="7">
        <f>IF($C$49=условия!$C$9,IF(AI47&gt;0,AI47*$H$49,0),IF($C$49=условия!$C$10,IF(AI25&gt;0,AI25*$H$49,0),IF($C$49=условия!$C$11,IF(AI47&gt;0,AI47*$H$49,0),IF(AI47&gt;0,AI47*$H$49,0))))</f>
        <v>0</v>
      </c>
      <c r="AJ49" s="7">
        <f>IF($C$49=условия!$C$9,IF(AJ47&gt;0,AJ47*$H$49,0),IF($C$49=условия!$C$10,IF(AJ25&gt;0,AJ25*$H$49,0),IF($C$49=условия!$C$11,IF(AJ47&gt;0,AJ47*$H$49,0),IF(AJ47&gt;0,AJ47*$H$49,0))))</f>
        <v>0</v>
      </c>
      <c r="AK49" s="7">
        <f>IF($C$49=условия!$C$9,IF(AK47&gt;0,AK47*$H$49,0),IF($C$49=условия!$C$10,IF(AK25&gt;0,AK25*$H$49,0),IF($C$49=условия!$C$11,IF(AK47&gt;0,AK47*$H$49,0),IF(AK47&gt;0,AK47*$H$49,0))))</f>
        <v>0</v>
      </c>
      <c r="AL49" s="7">
        <f>IF($C$49=условия!$C$9,IF(AL47&gt;0,AL47*$H$49,0),IF($C$49=условия!$C$10,IF(AL25&gt;0,AL25*$H$49,0),IF($C$49=условия!$C$11,IF(AL47&gt;0,AL47*$H$49,0),IF(AL47&gt;0,AL47*$H$49,0))))</f>
        <v>0</v>
      </c>
      <c r="AM49" s="7">
        <f>IF($C$49=условия!$C$9,IF(AM47&gt;0,AM47*$H$49,0),IF($C$49=условия!$C$10,IF(AM25&gt;0,AM25*$H$49,0),IF($C$49=условия!$C$11,IF(AM47&gt;0,AM47*$H$49,0),IF(AM47&gt;0,AM47*$H$49,0))))</f>
        <v>0</v>
      </c>
      <c r="AN49" s="7">
        <f>IF($C$49=условия!$C$9,IF(AN47&gt;0,AN47*$H$49,0),IF($C$49=условия!$C$10,IF(AN25&gt;0,AN25*$H$49,0),IF($C$49=условия!$C$11,IF(AN47&gt;0,AN47*$H$49,0),IF(AN47&gt;0,AN47*$H$49,0))))</f>
        <v>0</v>
      </c>
      <c r="AO49" s="7">
        <f>IF($C$49=условия!$C$9,IF(AO47&gt;0,AO47*$H$49,0),IF($C$49=условия!$C$10,IF(AO25&gt;0,AO25*$H$49,0),IF($C$49=условия!$C$11,IF(AO47&gt;0,AO47*$H$49,0),IF(AO47&gt;0,AO47*$H$49,0))))</f>
        <v>88147.007776192957</v>
      </c>
      <c r="AP49" s="7">
        <f>IF($C$49=условия!$C$9,IF(AP47&gt;0,AP47*$H$49,0),IF($C$49=условия!$C$10,IF(AP25&gt;0,AP25*$H$49,0),IF($C$49=условия!$C$11,IF(AP47&gt;0,AP47*$H$49,0),IF(AP47&gt;0,AP47*$H$49,0))))</f>
        <v>236815.76702236605</v>
      </c>
      <c r="AQ49" s="7">
        <f>IF($C$49=условия!$C$9,IF(AQ47&gt;0,AQ47*$H$49,0),IF($C$49=условия!$C$10,IF(AQ25&gt;0,AQ25*$H$49,0),IF($C$49=условия!$C$11,IF(AQ47&gt;0,AQ47*$H$49,0),IF(AQ47&gt;0,AQ47*$H$49,0))))</f>
        <v>400161.13036578888</v>
      </c>
      <c r="AR49" s="7">
        <f>IF($C$49=условия!$C$9,IF(AR47&gt;0,AR47*$H$49,0),IF($C$49=условия!$C$10,IF(AR25&gt;0,AR25*$H$49,0),IF($C$49=условия!$C$11,IF(AR47&gt;0,AR47*$H$49,0),IF(AR47&gt;0,AR47*$H$49,0))))</f>
        <v>578153.74459826818</v>
      </c>
      <c r="AS49" s="7">
        <f>IF($C$49=условия!$C$9,IF(AS47&gt;0,AS47*$H$49,0),IF($C$49=условия!$C$10,IF(AS25&gt;0,AS25*$H$49,0),IF($C$49=условия!$C$11,IF(AS47&gt;0,AS47*$H$49,0),IF(AS47&gt;0,AS47*$H$49,0))))</f>
        <v>769764.31521802302</v>
      </c>
      <c r="AT49" s="7">
        <f>IF($C$49=условия!$C$9,IF(AT47&gt;0,AT47*$H$49,0),IF($C$49=условия!$C$10,IF(AT25&gt;0,AT25*$H$49,0),IF($C$49=условия!$C$11,IF(AT47&gt;0,AT47*$H$49,0),IF(AT47&gt;0,AT47*$H$49,0))))</f>
        <v>976132.27297894994</v>
      </c>
      <c r="AU49" s="7">
        <f>IF($C$49=условия!$C$9,IF(AU47&gt;0,AU47*$H$49,0),IF($C$49=условия!$C$10,IF(AU25&gt;0,AU25*$H$49,0),IF($C$49=условия!$C$11,IF(AU47&gt;0,AU47*$H$49,0),IF(AU47&gt;0,AU47*$H$49,0))))</f>
        <v>1197061.4364400951</v>
      </c>
      <c r="AV49" s="7">
        <f>IF($C$49=условия!$C$9,IF(AV47&gt;0,AV47*$H$49,0),IF($C$49=условия!$C$10,IF(AV25&gt;0,AV25*$H$49,0),IF($C$49=условия!$C$11,IF(AV47&gt;0,AV47*$H$49,0),IF(AV47&gt;0,AV47*$H$49,0))))</f>
        <v>1432522.6831900626</v>
      </c>
      <c r="AW49" s="7">
        <f>IF($C$49=условия!$C$9,IF(AW47&gt;0,AW47*$H$49,0),IF($C$49=условия!$C$10,IF(AW25&gt;0,AW25*$H$49,0),IF($C$49=условия!$C$11,IF(AW47&gt;0,AW47*$H$49,0),IF(AW47&gt;0,AW47*$H$49,0))))</f>
        <v>1682486.9490622722</v>
      </c>
      <c r="AX49" s="7">
        <f>IF($C$49=условия!$C$9,IF(AX47&gt;0,AX47*$H$49,0),IF($C$49=условия!$C$10,IF(AX25&gt;0,AX25*$H$49,0),IF($C$49=условия!$C$11,IF(AX47&gt;0,AX47*$H$49,0),IF(AX47&gt;0,AX47*$H$49,0))))</f>
        <v>1770368.9993011863</v>
      </c>
      <c r="AY49" s="7">
        <f>IF($C$49=условия!$C$9,IF(AY47&gt;0,AY47*$H$49,0),IF($C$49=условия!$C$10,IF(AY25&gt;0,AY25*$H$49,0),IF($C$49=условия!$C$11,IF(AY47&gt;0,AY47*$H$49,0),IF(AY47&gt;0,AY47*$H$49,0))))</f>
        <v>2189620.5694549889</v>
      </c>
      <c r="AZ49" s="7">
        <f>IF($C$49=условия!$C$9,IF(AZ47&gt;0,AZ47*$H$49,0),IF($C$49=условия!$C$10,IF(AZ25&gt;0,AZ25*$H$49,0),IF($C$49=условия!$C$11,IF(AZ47&gt;0,AZ47*$H$49,0),IF(AZ47&gt;0,AZ47*$H$49,0))))</f>
        <v>2571982.1281278618</v>
      </c>
      <c r="BA49" s="7">
        <f>IF($C$49=условия!$C$9,IF(BA47&gt;0,BA47*$H$49,0),IF($C$49=условия!$C$10,IF(BA25&gt;0,BA25*$H$49,0),IF($C$49=условия!$C$11,IF(BA47&gt;0,BA47*$H$49,0),IF(BA47&gt;0,BA47*$H$49,0))))</f>
        <v>2956601.6659037159</v>
      </c>
      <c r="BB49" s="7">
        <f>IF($C$49=условия!$C$9,IF(BB47&gt;0,BB47*$H$49,0),IF($C$49=условия!$C$10,IF(BB25&gt;0,BB25*$H$49,0),IF($C$49=условия!$C$11,IF(BB47&gt;0,BB47*$H$49,0),IF(BB47&gt;0,BB47*$H$49,0))))</f>
        <v>3350565.1648187693</v>
      </c>
      <c r="BC49" s="7">
        <f>IF($C$49=условия!$C$9,IF(BC47&gt;0,BC47*$H$49,0),IF($C$49=условия!$C$10,IF(BC25&gt;0,BC25*$H$49,0),IF($C$49=условия!$C$11,IF(BC47&gt;0,BC47*$H$49,0),IF(BC47&gt;0,BC47*$H$49,0))))</f>
        <v>3753961.548526207</v>
      </c>
      <c r="BD49" s="7">
        <f>IF($C$49=условия!$C$9,IF(BD47&gt;0,BD47*$H$49,0),IF($C$49=условия!$C$10,IF(BD25&gt;0,BD25*$H$49,0),IF($C$49=условия!$C$11,IF(BD47&gt;0,BD47*$H$49,0),IF(BD47&gt;0,BD47*$H$49,0))))</f>
        <v>4166866.4579516747</v>
      </c>
      <c r="BE49" s="7">
        <f>IF($C$49=условия!$C$9,IF(BE47&gt;0,BE47*$H$49,0),IF($C$49=условия!$C$10,IF(BE25&gt;0,BE25*$H$49,0),IF($C$49=условия!$C$11,IF(BE47&gt;0,BE47*$H$49,0),IF(BE47&gt;0,BE47*$H$49,0))))</f>
        <v>4589356.1125827683</v>
      </c>
      <c r="BF49" s="7">
        <f>IF($C$49=условия!$C$9,IF(BF47&gt;0,BF47*$H$49,0),IF($C$49=условия!$C$10,IF(BF25&gt;0,BF25*$H$49,0),IF($C$49=условия!$C$11,IF(BF47&gt;0,BF47*$H$49,0),IF(BF47&gt;0,BF47*$H$49,0))))</f>
        <v>4795437.942190594</v>
      </c>
      <c r="BG49" s="7">
        <f>IF($C$49=условия!$C$9,IF(BG47&gt;0,BG47*$H$49,0),IF($C$49=условия!$C$10,IF(BG25&gt;0,BG25*$H$49,0),IF($C$49=условия!$C$11,IF(BG47&gt;0,BG47*$H$49,0),IF(BG47&gt;0,BG47*$H$49,0))))</f>
        <v>4736350.9479193557</v>
      </c>
      <c r="BH49" s="7">
        <f>IF($C$49=условия!$C$9,IF(BH47&gt;0,BH47*$H$49,0),IF($C$49=условия!$C$10,IF(BH25&gt;0,BH25*$H$49,0),IF($C$49=условия!$C$11,IF(BH47&gt;0,BH47*$H$49,0),IF(BH47&gt;0,BH47*$H$49,0))))</f>
        <v>4670754.8427406242</v>
      </c>
      <c r="BI49" s="7">
        <f>IF($C$49=условия!$C$9,IF(BI47&gt;0,BI47*$H$49,0),IF($C$49=условия!$C$10,IF(BI25&gt;0,BI25*$H$49,0),IF($C$49=условия!$C$11,IF(BI47&gt;0,BI47*$H$49,0),IF(BI47&gt;0,BI47*$H$49,0))))</f>
        <v>4605121.9214473665</v>
      </c>
      <c r="BJ49" s="7">
        <f>IF($C$49=условия!$C$9,IF(BJ47&gt;0,BJ47*$H$49,0),IF($C$49=условия!$C$10,IF(BJ25&gt;0,BJ25*$H$49,0),IF($C$49=условия!$C$11,IF(BJ47&gt;0,BJ47*$H$49,0),IF(BJ47&gt;0,BJ47*$H$49,0))))</f>
        <v>4532698.1674335897</v>
      </c>
      <c r="BK49" s="7">
        <f>IF($C$49=условия!$C$9,IF(BK47&gt;0,BK47*$H$49,0),IF($C$49=условия!$C$10,IF(BK25&gt;0,BK25*$H$49,0),IF($C$49=условия!$C$11,IF(BK47&gt;0,BK47*$H$49,0),IF(BK47&gt;0,BK47*$H$49,0))))</f>
        <v>4454382.4126709802</v>
      </c>
      <c r="BL49" s="7">
        <f>IF($C$49=условия!$C$9,IF(BL47&gt;0,BL47*$H$49,0),IF($C$49=условия!$C$10,IF(BL25&gt;0,BL25*$H$49,0),IF($C$49=условия!$C$11,IF(BL47&gt;0,BL47*$H$49,0),IF(BL47&gt;0,BL47*$H$49,0))))</f>
        <v>4324222.1271300837</v>
      </c>
      <c r="BM49" s="7">
        <f>IF($C$49=условия!$C$9,IF(BM47&gt;0,BM47*$H$49,0),IF($C$49=условия!$C$10,IF(BM25&gt;0,BM25*$H$49,0),IF($C$49=условия!$C$11,IF(BM47&gt;0,BM47*$H$49,0),IF(BM47&gt;0,BM47*$H$49,0))))</f>
        <v>4098152.7265005754</v>
      </c>
      <c r="BN49" s="7">
        <f>IF($C$49=условия!$C$9,IF(BN47&gt;0,BN47*$H$49,0),IF($C$49=условия!$C$10,IF(BN25&gt;0,BN25*$H$49,0),IF($C$49=условия!$C$11,IF(BN47&gt;0,BN47*$H$49,0),IF(BN47&gt;0,BN47*$H$49,0))))</f>
        <v>3872083.3258710685</v>
      </c>
      <c r="BO49" s="7">
        <f>IF($C$49=условия!$C$9,IF(BO47&gt;0,BO47*$H$49,0),IF($C$49=условия!$C$10,IF(BO25&gt;0,BO25*$H$49,0),IF($C$49=условия!$C$11,IF(BO47&gt;0,BO47*$H$49,0),IF(BO47&gt;0,BO47*$H$49,0))))</f>
        <v>3646013.9252415583</v>
      </c>
      <c r="BP49" s="7">
        <f>IF($C$49=условия!$C$9,IF(BP47&gt;0,BP47*$H$49,0),IF($C$49=условия!$C$10,IF(BP25&gt;0,BP25*$H$49,0),IF($C$49=условия!$C$11,IF(BP47&gt;0,BP47*$H$49,0),IF(BP47&gt;0,BP47*$H$49,0))))</f>
        <v>3419944.5246120491</v>
      </c>
      <c r="BQ49" s="7">
        <f>IF($C$49=условия!$C$9,IF(BQ47&gt;0,BQ47*$H$49,0),IF($C$49=условия!$C$10,IF(BQ25&gt;0,BQ25*$H$49,0),IF($C$49=условия!$C$11,IF(BQ47&gt;0,BQ47*$H$49,0),IF(BQ47&gt;0,BQ47*$H$49,0))))</f>
        <v>3193875.1239825417</v>
      </c>
      <c r="BR49" s="7">
        <f>IF($C$49=условия!$C$9,IF(BR47&gt;0,BR47*$H$49,0),IF($C$49=условия!$C$10,IF(BR25&gt;0,BR25*$H$49,0),IF($C$49=условия!$C$11,IF(BR47&gt;0,BR47*$H$49,0),IF(BR47&gt;0,BR47*$H$49,0))))</f>
        <v>2967805.7233530325</v>
      </c>
      <c r="BS49" s="7">
        <f>IF($C$49=условия!$C$9,IF(BS47&gt;0,BS47*$H$49,0),IF($C$49=условия!$C$10,IF(BS25&gt;0,BS25*$H$49,0),IF($C$49=условия!$C$11,IF(BS47&gt;0,BS47*$H$49,0),IF(BS47&gt;0,BS47*$H$49,0))))</f>
        <v>2741736.3227235246</v>
      </c>
      <c r="BT49" s="7">
        <f>IF($C$49=условия!$C$9,IF(BT47&gt;0,BT47*$H$49,0),IF($C$49=условия!$C$10,IF(BT25&gt;0,BT25*$H$49,0),IF($C$49=условия!$C$11,IF(BT47&gt;0,BT47*$H$49,0),IF(BT47&gt;0,BT47*$H$49,0))))</f>
        <v>2515666.9220940145</v>
      </c>
      <c r="BU49" s="7">
        <f>IF($C$49=условия!$C$9,IF(BU47&gt;0,BU47*$H$49,0),IF($C$49=условия!$C$10,IF(BU25&gt;0,BU25*$H$49,0),IF($C$49=условия!$C$11,IF(BU47&gt;0,BU47*$H$49,0),IF(BU47&gt;0,BU47*$H$49,0))))</f>
        <v>2289597.5214645071</v>
      </c>
      <c r="BV49" s="7">
        <f>IF($C$49=условия!$C$9,IF(BV47&gt;0,BV47*$H$49,0),IF($C$49=условия!$C$10,IF(BV25&gt;0,BV25*$H$49,0),IF($C$49=условия!$C$11,IF(BV47&gt;0,BV47*$H$49,0),IF(BV47&gt;0,BV47*$H$49,0))))</f>
        <v>2063528.1208349979</v>
      </c>
      <c r="BW49" s="7">
        <f>IF($C$49=условия!$C$9,IF(BW47&gt;0,BW47*$H$49,0),IF($C$49=условия!$C$10,IF(BW25&gt;0,BW25*$H$49,0),IF($C$49=условия!$C$11,IF(BW47&gt;0,BW47*$H$49,0),IF(BW47&gt;0,BW47*$H$49,0))))</f>
        <v>1837458.7202054881</v>
      </c>
      <c r="BX49" s="7">
        <f>IF($C$49=условия!$C$9,IF(BX47&gt;0,BX47*$H$49,0),IF($C$49=условия!$C$10,IF(BX25&gt;0,BX25*$H$49,0),IF($C$49=условия!$C$11,IF(BX47&gt;0,BX47*$H$49,0),IF(BX47&gt;0,BX47*$H$49,0))))</f>
        <v>1611389.3195759808</v>
      </c>
      <c r="BY49" s="7">
        <f>IF($C$49=условия!$C$9,IF(BY47&gt;0,BY47*$H$49,0),IF($C$49=условия!$C$10,IF(BY25&gt;0,BY25*$H$49,0),IF($C$49=условия!$C$11,IF(BY47&gt;0,BY47*$H$49,0),IF(BY47&gt;0,BY47*$H$49,0))))</f>
        <v>1385319.9189464713</v>
      </c>
      <c r="BZ49" s="7">
        <f>IF($C$49=условия!$C$9,IF(BZ47&gt;0,BZ47*$H$49,0),IF($C$49=условия!$C$10,IF(BZ25&gt;0,BZ25*$H$49,0),IF($C$49=условия!$C$11,IF(BZ47&gt;0,BZ47*$H$49,0),IF(BZ47&gt;0,BZ47*$H$49,0))))</f>
        <v>1159250.5183169628</v>
      </c>
      <c r="CA49" s="7">
        <f>IF($C$49=условия!$C$9,IF(CA47&gt;0,CA47*$H$49,0),IF($C$49=условия!$C$10,IF(CA25&gt;0,CA25*$H$49,0),IF($C$49=условия!$C$11,IF(CA47&gt;0,CA47*$H$49,0),IF(CA47&gt;0,CA47*$H$49,0))))</f>
        <v>933181.11768745398</v>
      </c>
      <c r="CB49" s="7">
        <f>IF($C$49=условия!$C$9,IF(CB47&gt;0,CB47*$H$49,0),IF($C$49=условия!$C$10,IF(CB25&gt;0,CB25*$H$49,0),IF($C$49=условия!$C$11,IF(CB47&gt;0,CB47*$H$49,0),IF(CB47&gt;0,CB47*$H$49,0))))</f>
        <v>707111.71705794544</v>
      </c>
      <c r="CC49" s="7">
        <f>IF($C$49=условия!$C$9,IF(CC47&gt;0,CC47*$H$49,0),IF($C$49=условия!$C$10,IF(CC25&gt;0,CC25*$H$49,0),IF($C$49=условия!$C$11,IF(CC47&gt;0,CC47*$H$49,0),IF(CC47&gt;0,CC47*$H$49,0))))</f>
        <v>481042.31642843655</v>
      </c>
      <c r="CD49" s="7">
        <f>IF($C$49=условия!$C$9,IF(CD47&gt;0,CD47*$H$49,0),IF($C$49=условия!$C$10,IF(CD25&gt;0,CD25*$H$49,0),IF($C$49=условия!$C$11,IF(CD47&gt;0,CD47*$H$49,0),IF(CD47&gt;0,CD47*$H$49,0))))</f>
        <v>254972.91579892786</v>
      </c>
      <c r="CE49" s="7">
        <f>IF($C$49=условия!$C$9,IF(CE47&gt;0,CE47*$H$49,0),IF($C$49=условия!$C$10,IF(CE25&gt;0,CE25*$H$49,0),IF($C$49=условия!$C$11,IF(CE47&gt;0,CE47*$H$49,0),IF(CE47&gt;0,CE47*$H$49,0))))</f>
        <v>28903.515169419075</v>
      </c>
    </row>
    <row r="50" spans="3:83">
      <c r="C50" s="4" t="str">
        <f>IF(условия!$E$9=1,условия!$C$9,IF(условия!$E$10=1,условия!$C$10,IF(условия!$E$11=1,условия!$C$11,"")))</f>
        <v>ОСНО</v>
      </c>
    </row>
    <row r="51" spans="3:83" s="3" customFormat="1">
      <c r="C51" s="3" t="str">
        <f>IF(условия!$E$9=1,условия!$C$9,IF(условия!$E$10=1,условия!$C$10,IF(условия!$E$11=1,условия!$C$11,"")))</f>
        <v>ОСНО</v>
      </c>
      <c r="E51" s="82" t="s">
        <v>2</v>
      </c>
      <c r="F51" s="82"/>
      <c r="G51" s="83"/>
      <c r="H51" s="82"/>
      <c r="I51" s="83" t="s">
        <v>17</v>
      </c>
      <c r="J51" s="84">
        <f>SUM($K51:$CF51)</f>
        <v>408761278.58039737</v>
      </c>
      <c r="K51" s="93"/>
      <c r="L51" s="85">
        <f>L47-L49</f>
        <v>0</v>
      </c>
      <c r="M51" s="85">
        <f t="shared" ref="M51:BX51" si="41">M47-M49</f>
        <v>0</v>
      </c>
      <c r="N51" s="85">
        <f t="shared" si="41"/>
        <v>0</v>
      </c>
      <c r="O51" s="85">
        <f t="shared" si="41"/>
        <v>0</v>
      </c>
      <c r="P51" s="85">
        <f t="shared" si="41"/>
        <v>0</v>
      </c>
      <c r="Q51" s="85">
        <f t="shared" si="41"/>
        <v>0</v>
      </c>
      <c r="R51" s="85">
        <f t="shared" si="41"/>
        <v>0</v>
      </c>
      <c r="S51" s="85">
        <f t="shared" si="41"/>
        <v>0</v>
      </c>
      <c r="T51" s="85">
        <f t="shared" si="41"/>
        <v>0</v>
      </c>
      <c r="U51" s="85">
        <f t="shared" si="41"/>
        <v>0</v>
      </c>
      <c r="V51" s="85">
        <f t="shared" si="41"/>
        <v>0</v>
      </c>
      <c r="W51" s="85">
        <f t="shared" si="41"/>
        <v>0</v>
      </c>
      <c r="X51" s="85">
        <f t="shared" si="41"/>
        <v>0</v>
      </c>
      <c r="Y51" s="85">
        <f t="shared" si="41"/>
        <v>0</v>
      </c>
      <c r="Z51" s="85">
        <f t="shared" si="41"/>
        <v>0</v>
      </c>
      <c r="AA51" s="85">
        <f t="shared" si="41"/>
        <v>0</v>
      </c>
      <c r="AB51" s="85">
        <f t="shared" si="41"/>
        <v>0</v>
      </c>
      <c r="AC51" s="85">
        <f t="shared" si="41"/>
        <v>0</v>
      </c>
      <c r="AD51" s="85">
        <f t="shared" si="41"/>
        <v>0</v>
      </c>
      <c r="AE51" s="85">
        <f t="shared" si="41"/>
        <v>0</v>
      </c>
      <c r="AF51" s="85">
        <f t="shared" si="41"/>
        <v>0</v>
      </c>
      <c r="AG51" s="85">
        <f t="shared" si="41"/>
        <v>-17500</v>
      </c>
      <c r="AH51" s="85">
        <f t="shared" si="41"/>
        <v>-52750</v>
      </c>
      <c r="AI51" s="85">
        <f t="shared" si="41"/>
        <v>-975489.84499999974</v>
      </c>
      <c r="AJ51" s="85">
        <f t="shared" si="41"/>
        <v>-2157345.6714814813</v>
      </c>
      <c r="AK51" s="85">
        <f t="shared" si="41"/>
        <v>-1787468.9455664158</v>
      </c>
      <c r="AL51" s="85">
        <f t="shared" si="41"/>
        <v>-1342722.5115726388</v>
      </c>
      <c r="AM51" s="85">
        <f t="shared" si="41"/>
        <v>-823106.36950015102</v>
      </c>
      <c r="AN51" s="85">
        <f t="shared" si="41"/>
        <v>-228620.5193489478</v>
      </c>
      <c r="AO51" s="85">
        <f t="shared" si="41"/>
        <v>352588.03110477177</v>
      </c>
      <c r="AP51" s="85">
        <f t="shared" si="41"/>
        <v>947263.0680894641</v>
      </c>
      <c r="AQ51" s="85">
        <f t="shared" si="41"/>
        <v>1600644.5214631553</v>
      </c>
      <c r="AR51" s="85">
        <f t="shared" si="41"/>
        <v>2312614.9783930727</v>
      </c>
      <c r="AS51" s="85">
        <f t="shared" si="41"/>
        <v>3079057.2608720916</v>
      </c>
      <c r="AT51" s="85">
        <f t="shared" si="41"/>
        <v>3904529.0919157998</v>
      </c>
      <c r="AU51" s="85">
        <f t="shared" si="41"/>
        <v>4788245.7457603794</v>
      </c>
      <c r="AV51" s="85">
        <f t="shared" si="41"/>
        <v>5730090.7327602506</v>
      </c>
      <c r="AW51" s="85">
        <f t="shared" si="41"/>
        <v>6729947.7962490888</v>
      </c>
      <c r="AX51" s="85">
        <f t="shared" si="41"/>
        <v>7081475.9972047452</v>
      </c>
      <c r="AY51" s="85">
        <f t="shared" si="41"/>
        <v>8758482.2778199557</v>
      </c>
      <c r="AZ51" s="85">
        <f t="shared" si="41"/>
        <v>10287928.512511447</v>
      </c>
      <c r="BA51" s="85">
        <f t="shared" si="41"/>
        <v>11826406.663614864</v>
      </c>
      <c r="BB51" s="85">
        <f t="shared" si="41"/>
        <v>13402260.659275075</v>
      </c>
      <c r="BC51" s="85">
        <f t="shared" si="41"/>
        <v>15015846.194104826</v>
      </c>
      <c r="BD51" s="85">
        <f t="shared" si="41"/>
        <v>16667465.831806699</v>
      </c>
      <c r="BE51" s="85">
        <f t="shared" si="41"/>
        <v>18357424.45033107</v>
      </c>
      <c r="BF51" s="85">
        <f t="shared" si="41"/>
        <v>19181751.768762376</v>
      </c>
      <c r="BG51" s="85">
        <f t="shared" si="41"/>
        <v>18945403.791677423</v>
      </c>
      <c r="BH51" s="85">
        <f t="shared" si="41"/>
        <v>18683019.370962493</v>
      </c>
      <c r="BI51" s="85">
        <f t="shared" si="41"/>
        <v>18420487.685789466</v>
      </c>
      <c r="BJ51" s="85">
        <f t="shared" si="41"/>
        <v>18130792.669734359</v>
      </c>
      <c r="BK51" s="85">
        <f t="shared" si="41"/>
        <v>17817529.650683921</v>
      </c>
      <c r="BL51" s="85">
        <f t="shared" si="41"/>
        <v>17296888.508520335</v>
      </c>
      <c r="BM51" s="85">
        <f t="shared" si="41"/>
        <v>16392610.906002302</v>
      </c>
      <c r="BN51" s="85">
        <f t="shared" si="41"/>
        <v>15488333.303484272</v>
      </c>
      <c r="BO51" s="85">
        <f t="shared" si="41"/>
        <v>14584055.700966233</v>
      </c>
      <c r="BP51" s="85">
        <f t="shared" si="41"/>
        <v>13679778.098448196</v>
      </c>
      <c r="BQ51" s="85">
        <f t="shared" si="41"/>
        <v>12775500.495930167</v>
      </c>
      <c r="BR51" s="85">
        <f t="shared" si="41"/>
        <v>11871222.89341213</v>
      </c>
      <c r="BS51" s="85">
        <f t="shared" si="41"/>
        <v>10966945.290894097</v>
      </c>
      <c r="BT51" s="85">
        <f t="shared" si="41"/>
        <v>10062667.688376058</v>
      </c>
      <c r="BU51" s="85">
        <f t="shared" si="41"/>
        <v>9158390.0858580284</v>
      </c>
      <c r="BV51" s="85">
        <f t="shared" si="41"/>
        <v>8254112.4833399905</v>
      </c>
      <c r="BW51" s="85">
        <f t="shared" si="41"/>
        <v>7349834.8808219526</v>
      </c>
      <c r="BX51" s="85">
        <f t="shared" si="41"/>
        <v>6445557.2783039231</v>
      </c>
      <c r="BY51" s="85">
        <f t="shared" ref="BY51:CE51" si="42">BY47-BY49</f>
        <v>5541279.6757858852</v>
      </c>
      <c r="BZ51" s="85">
        <f t="shared" si="42"/>
        <v>4637002.073267851</v>
      </c>
      <c r="CA51" s="85">
        <f t="shared" si="42"/>
        <v>3732724.4707498155</v>
      </c>
      <c r="CB51" s="85">
        <f t="shared" si="42"/>
        <v>2828446.8682317818</v>
      </c>
      <c r="CC51" s="85">
        <f t="shared" si="42"/>
        <v>1924169.2657137462</v>
      </c>
      <c r="CD51" s="85">
        <f t="shared" si="42"/>
        <v>1019891.6631957113</v>
      </c>
      <c r="CE51" s="85">
        <f t="shared" si="42"/>
        <v>115614.0606776763</v>
      </c>
    </row>
    <row r="52" spans="3:83">
      <c r="C52" s="4" t="str">
        <f>IF(условия!$E$9=1,условия!$C$9,IF(условия!$E$10=1,условия!$C$10,IF(условия!$E$11=1,условия!$C$11,"")))</f>
        <v>ОСНО</v>
      </c>
    </row>
    <row r="53" spans="3:83">
      <c r="C53" s="4" t="str">
        <f>IF(условия!$E$9=1,условия!$C$9,IF(условия!$E$10=1,условия!$C$10,IF(условия!$E$11=1,условия!$C$11,"")))</f>
        <v>ОСНО</v>
      </c>
      <c r="E53" s="4" t="s">
        <v>34</v>
      </c>
      <c r="J53" s="43">
        <f>SUM($K53:$CF53)</f>
        <v>179290877.77777779</v>
      </c>
      <c r="L53" s="6">
        <f>IF(AND(L$7=условия!$E$16,L$7&lt;$R$7),условия!$E$66*$J$9,IF(AND(L$7=условия!$E$16,L$7&gt;=$R$7),условия!$E$64*$J$9,0))</f>
        <v>0</v>
      </c>
      <c r="M53" s="6">
        <f>IF(AND(M$7=условия!$E$16,M$7&lt;$R$7),условия!$E$66*$J$9,IF(AND(M$7=условия!$E$16,M$7&gt;=$R$7),условия!$E$64*$J$9,0))</f>
        <v>0</v>
      </c>
      <c r="N53" s="6">
        <f>IF(AND(N$7=условия!$E$16,N$7&lt;$R$7),условия!$E$66*$J$9,IF(AND(N$7=условия!$E$16,N$7&gt;=$R$7),условия!$E$64*$J$9,0))</f>
        <v>0</v>
      </c>
      <c r="O53" s="6">
        <f>IF(AND(O$7=условия!$E$16,O$7&lt;$R$7),условия!$E$66*$J$9,IF(AND(O$7=условия!$E$16,O$7&gt;=$R$7),условия!$E$64*$J$9,0))</f>
        <v>0</v>
      </c>
      <c r="P53" s="6">
        <f>IF(AND(P$7=условия!$E$16,P$7&lt;$R$7),условия!$E$66*$J$9,IF(AND(P$7=условия!$E$16,P$7&gt;=$R$7),условия!$E$64*$J$9,0))</f>
        <v>0</v>
      </c>
      <c r="Q53" s="6">
        <f>IF(AND(Q$7=условия!$E$16,Q$7&lt;$R$7),условия!$E$66*$J$9,IF(AND(Q$7=условия!$E$16,Q$7&gt;=$R$7),условия!$E$64*$J$9,0))</f>
        <v>0</v>
      </c>
      <c r="R53" s="6">
        <f>IF(AND(R$7=условия!$E$16,R$7&lt;$R$7),условия!$E$66*$J$9,IF(AND(R$7=условия!$E$16,R$7&gt;=$R$7),условия!$E$64*$J$9,0))</f>
        <v>0</v>
      </c>
      <c r="S53" s="6">
        <f>IF(AND(S$7=условия!$E$16,S$7&lt;$R$7),условия!$E$66*$J$9,IF(AND(S$7=условия!$E$16,S$7&gt;=$R$7),условия!$E$64*$J$9,0))</f>
        <v>0</v>
      </c>
      <c r="T53" s="6">
        <f>IF(AND(T$7=условия!$E$16,T$7&lt;$R$7),условия!$E$66*$J$9,IF(AND(T$7=условия!$E$16,T$7&gt;=$R$7),условия!$E$64*$J$9,0))</f>
        <v>0</v>
      </c>
      <c r="U53" s="6">
        <f>IF(AND(U$7=условия!$E$16,U$7&lt;$R$7),условия!$E$66*$J$9,IF(AND(U$7=условия!$E$16,U$7&gt;=$R$7),условия!$E$64*$J$9,0))</f>
        <v>0</v>
      </c>
      <c r="V53" s="6">
        <f>IF(AND(V$7=условия!$E$16,V$7&lt;$R$7),условия!$E$66*$J$9,IF(AND(V$7=условия!$E$16,V$7&gt;=$R$7),условия!$E$64*$J$9,0))</f>
        <v>0</v>
      </c>
      <c r="W53" s="6">
        <f>IF(AND(W$7=условия!$E$16,W$7&lt;$R$7),условия!$E$66*$J$9,IF(AND(W$7=условия!$E$16,W$7&gt;=$R$7),условия!$E$64*$J$9,0))</f>
        <v>0</v>
      </c>
      <c r="X53" s="6">
        <f>IF(AND(X$7=условия!$E$16,X$7&lt;$R$7),условия!$E$66*$J$9,IF(AND(X$7=условия!$E$16,X$7&gt;=$R$7),условия!$E$64*$J$9,0))</f>
        <v>0</v>
      </c>
      <c r="Y53" s="6">
        <f>IF(AND(Y$7=условия!$E$16,Y$7&lt;$R$7),условия!$E$66*$J$9,IF(AND(Y$7=условия!$E$16,Y$7&gt;=$R$7),условия!$E$64*$J$9,0))</f>
        <v>0</v>
      </c>
      <c r="Z53" s="6">
        <f>IF(AND(Z$7=условия!$E$16,Z$7&lt;$R$7),условия!$E$66*$J$9,IF(AND(Z$7=условия!$E$16,Z$7&gt;=$R$7),условия!$E$64*$J$9,0))</f>
        <v>0</v>
      </c>
      <c r="AA53" s="6">
        <f>IF(AND(AA$7=условия!$E$16,AA$7&lt;$R$7),условия!$E$66*$J$9,IF(AND(AA$7=условия!$E$16,AA$7&gt;=$R$7),условия!$E$64*$J$9,0))</f>
        <v>0</v>
      </c>
      <c r="AB53" s="6">
        <f>IF(AND(AB$7=условия!$E$16,AB$7&lt;$R$7),условия!$E$66*$J$9,IF(AND(AB$7=условия!$E$16,AB$7&gt;=$R$7),условия!$E$64*$J$9,0))</f>
        <v>0</v>
      </c>
      <c r="AC53" s="6">
        <f>IF(AND(AC$7=условия!$E$16,AC$7&lt;$R$7),условия!$E$66*$J$9,IF(AND(AC$7=условия!$E$16,AC$7&gt;=$R$7),условия!$E$64*$J$9,0))</f>
        <v>0</v>
      </c>
      <c r="AD53" s="6">
        <f>IF(AND(AD$7=условия!$E$16,AD$7&lt;$R$7),условия!$E$66*$J$9,IF(AND(AD$7=условия!$E$16,AD$7&gt;=$R$7),условия!$E$64*$J$9,0))</f>
        <v>0</v>
      </c>
      <c r="AE53" s="6">
        <f>IF(AND(AE$7=условия!$E$16,AE$7&lt;$R$7),условия!$E$66*$J$9,IF(AND(AE$7=условия!$E$16,AE$7&gt;=$R$7),условия!$E$64*$J$9,0))</f>
        <v>0</v>
      </c>
      <c r="AF53" s="6">
        <f>IF(AND(AF$7=условия!$E$16,AF$7&lt;$R$7),условия!$E$66*$J$9,IF(AND(AF$7=условия!$E$16,AF$7&gt;=$R$7),условия!$E$64*$J$9,0))</f>
        <v>0</v>
      </c>
      <c r="AG53" s="6">
        <f>IF(AND(AG$7=условия!$E$16,AG$7&lt;$R$7),условия!$E$66*$J$9,IF(AND(AG$7=условия!$E$16,AG$7&gt;=$R$7),условия!$E$64*$J$9,0))</f>
        <v>0</v>
      </c>
      <c r="AH53" s="6">
        <f>IF(AND(AH$7=условия!$E$16,AH$7&lt;$R$7),условия!$E$66*$J$9,IF(AND(AH$7=условия!$E$16,AH$7&gt;=$R$7),условия!$E$64*$J$9,0))</f>
        <v>0</v>
      </c>
      <c r="AI53" s="6">
        <f>IF(AND(AI$7=условия!$E$16,AI$7&lt;$R$7),условия!$E$66*$J$9,IF(AND(AI$7=условия!$E$16,AI$7&gt;=$R$7),условия!$E$64*$J$9,0))</f>
        <v>179290877.77777779</v>
      </c>
      <c r="AJ53" s="6">
        <f>IF(AND(AJ$7=условия!$E$16,AJ$7&lt;$R$7),условия!$E$66*$J$9,IF(AND(AJ$7=условия!$E$16,AJ$7&gt;=$R$7),условия!$E$64*$J$9,0))</f>
        <v>0</v>
      </c>
      <c r="AK53" s="6">
        <f>IF(AND(AK$7=условия!$E$16,AK$7&lt;$R$7),условия!$E$66*$J$9,IF(AND(AK$7=условия!$E$16,AK$7&gt;=$R$7),условия!$E$64*$J$9,0))</f>
        <v>0</v>
      </c>
      <c r="AL53" s="6">
        <f>IF(AND(AL$7=условия!$E$16,AL$7&lt;$R$7),условия!$E$66*$J$9,IF(AND(AL$7=условия!$E$16,AL$7&gt;=$R$7),условия!$E$64*$J$9,0))</f>
        <v>0</v>
      </c>
      <c r="AM53" s="6">
        <f>IF(AND(AM$7=условия!$E$16,AM$7&lt;$R$7),условия!$E$66*$J$9,IF(AND(AM$7=условия!$E$16,AM$7&gt;=$R$7),условия!$E$64*$J$9,0))</f>
        <v>0</v>
      </c>
      <c r="AN53" s="6">
        <f>IF(AND(AN$7=условия!$E$16,AN$7&lt;$R$7),условия!$E$66*$J$9,IF(AND(AN$7=условия!$E$16,AN$7&gt;=$R$7),условия!$E$64*$J$9,0))</f>
        <v>0</v>
      </c>
      <c r="AO53" s="6">
        <f>IF(AND(AO$7=условия!$E$16,AO$7&lt;$R$7),условия!$E$66*$J$9,IF(AND(AO$7=условия!$E$16,AO$7&gt;=$R$7),условия!$E$64*$J$9,0))</f>
        <v>0</v>
      </c>
      <c r="AP53" s="6">
        <f>IF(AND(AP$7=условия!$E$16,AP$7&lt;$R$7),условия!$E$66*$J$9,IF(AND(AP$7=условия!$E$16,AP$7&gt;=$R$7),условия!$E$64*$J$9,0))</f>
        <v>0</v>
      </c>
      <c r="AQ53" s="6">
        <f>IF(AND(AQ$7=условия!$E$16,AQ$7&lt;$R$7),условия!$E$66*$J$9,IF(AND(AQ$7=условия!$E$16,AQ$7&gt;=$R$7),условия!$E$64*$J$9,0))</f>
        <v>0</v>
      </c>
      <c r="AR53" s="6">
        <f>IF(AND(AR$7=условия!$E$16,AR$7&lt;$R$7),условия!$E$66*$J$9,IF(AND(AR$7=условия!$E$16,AR$7&gt;=$R$7),условия!$E$64*$J$9,0))</f>
        <v>0</v>
      </c>
      <c r="AS53" s="6">
        <f>IF(AND(AS$7=условия!$E$16,AS$7&lt;$R$7),условия!$E$66*$J$9,IF(AND(AS$7=условия!$E$16,AS$7&gt;=$R$7),условия!$E$64*$J$9,0))</f>
        <v>0</v>
      </c>
      <c r="AT53" s="6">
        <f>IF(AND(AT$7=условия!$E$16,AT$7&lt;$R$7),условия!$E$66*$J$9,IF(AND(AT$7=условия!$E$16,AT$7&gt;=$R$7),условия!$E$64*$J$9,0))</f>
        <v>0</v>
      </c>
      <c r="AU53" s="6">
        <f>IF(AND(AU$7=условия!$E$16,AU$7&lt;$R$7),условия!$E$66*$J$9,IF(AND(AU$7=условия!$E$16,AU$7&gt;=$R$7),условия!$E$64*$J$9,0))</f>
        <v>0</v>
      </c>
      <c r="AV53" s="6">
        <f>IF(AND(AV$7=условия!$E$16,AV$7&lt;$R$7),условия!$E$66*$J$9,IF(AND(AV$7=условия!$E$16,AV$7&gt;=$R$7),условия!$E$64*$J$9,0))</f>
        <v>0</v>
      </c>
      <c r="AW53" s="6">
        <f>IF(AND(AW$7=условия!$E$16,AW$7&lt;$R$7),условия!$E$66*$J$9,IF(AND(AW$7=условия!$E$16,AW$7&gt;=$R$7),условия!$E$64*$J$9,0))</f>
        <v>0</v>
      </c>
      <c r="AX53" s="6">
        <f>IF(AND(AX$7=условия!$E$16,AX$7&lt;$R$7),условия!$E$66*$J$9,IF(AND(AX$7=условия!$E$16,AX$7&gt;=$R$7),условия!$E$64*$J$9,0))</f>
        <v>0</v>
      </c>
      <c r="AY53" s="6">
        <f>IF(AND(AY$7=условия!$E$16,AY$7&lt;$R$7),условия!$E$66*$J$9,IF(AND(AY$7=условия!$E$16,AY$7&gt;=$R$7),условия!$E$64*$J$9,0))</f>
        <v>0</v>
      </c>
      <c r="AZ53" s="6">
        <f>IF(AND(AZ$7=условия!$E$16,AZ$7&lt;$R$7),условия!$E$66*$J$9,IF(AND(AZ$7=условия!$E$16,AZ$7&gt;=$R$7),условия!$E$64*$J$9,0))</f>
        <v>0</v>
      </c>
      <c r="BA53" s="6">
        <f>IF(AND(BA$7=условия!$E$16,BA$7&lt;$R$7),условия!$E$66*$J$9,IF(AND(BA$7=условия!$E$16,BA$7&gt;=$R$7),условия!$E$64*$J$9,0))</f>
        <v>0</v>
      </c>
      <c r="BB53" s="6">
        <f>IF(AND(BB$7=условия!$E$16,BB$7&lt;$R$7),условия!$E$66*$J$9,IF(AND(BB$7=условия!$E$16,BB$7&gt;=$R$7),условия!$E$64*$J$9,0))</f>
        <v>0</v>
      </c>
      <c r="BC53" s="6">
        <f>IF(AND(BC$7=условия!$E$16,BC$7&lt;$R$7),условия!$E$66*$J$9,IF(AND(BC$7=условия!$E$16,BC$7&gt;=$R$7),условия!$E$64*$J$9,0))</f>
        <v>0</v>
      </c>
      <c r="BD53" s="6">
        <f>IF(AND(BD$7=условия!$E$16,BD$7&lt;$R$7),условия!$E$66*$J$9,IF(AND(BD$7=условия!$E$16,BD$7&gt;=$R$7),условия!$E$64*$J$9,0))</f>
        <v>0</v>
      </c>
      <c r="BE53" s="6">
        <f>IF(AND(BE$7=условия!$E$16,BE$7&lt;$R$7),условия!$E$66*$J$9,IF(AND(BE$7=условия!$E$16,BE$7&gt;=$R$7),условия!$E$64*$J$9,0))</f>
        <v>0</v>
      </c>
      <c r="BF53" s="6">
        <f>IF(AND(BF$7=условия!$E$16,BF$7&lt;$R$7),условия!$E$66*$J$9,IF(AND(BF$7=условия!$E$16,BF$7&gt;=$R$7),условия!$E$64*$J$9,0))</f>
        <v>0</v>
      </c>
      <c r="BG53" s="6">
        <f>IF(AND(BG$7=условия!$E$16,BG$7&lt;$R$7),условия!$E$66*$J$9,IF(AND(BG$7=условия!$E$16,BG$7&gt;=$R$7),условия!$E$64*$J$9,0))</f>
        <v>0</v>
      </c>
      <c r="BH53" s="6">
        <f>IF(AND(BH$7=условия!$E$16,BH$7&lt;$R$7),условия!$E$66*$J$9,IF(AND(BH$7=условия!$E$16,BH$7&gt;=$R$7),условия!$E$64*$J$9,0))</f>
        <v>0</v>
      </c>
      <c r="BI53" s="6">
        <f>IF(AND(BI$7=условия!$E$16,BI$7&lt;$R$7),условия!$E$66*$J$9,IF(AND(BI$7=условия!$E$16,BI$7&gt;=$R$7),условия!$E$64*$J$9,0))</f>
        <v>0</v>
      </c>
      <c r="BJ53" s="6">
        <f>IF(AND(BJ$7=условия!$E$16,BJ$7&lt;$R$7),условия!$E$66*$J$9,IF(AND(BJ$7=условия!$E$16,BJ$7&gt;=$R$7),условия!$E$64*$J$9,0))</f>
        <v>0</v>
      </c>
      <c r="BK53" s="6">
        <f>IF(AND(BK$7=условия!$E$16,BK$7&lt;$R$7),условия!$E$66*$J$9,IF(AND(BK$7=условия!$E$16,BK$7&gt;=$R$7),условия!$E$64*$J$9,0))</f>
        <v>0</v>
      </c>
      <c r="BL53" s="6">
        <f>IF(AND(BL$7=условия!$E$16,BL$7&lt;$R$7),условия!$E$66*$J$9,IF(AND(BL$7=условия!$E$16,BL$7&gt;=$R$7),условия!$E$64*$J$9,0))</f>
        <v>0</v>
      </c>
      <c r="BM53" s="6">
        <f>IF(AND(BM$7=условия!$E$16,BM$7&lt;$R$7),условия!$E$66*$J$9,IF(AND(BM$7=условия!$E$16,BM$7&gt;=$R$7),условия!$E$64*$J$9,0))</f>
        <v>0</v>
      </c>
      <c r="BN53" s="6">
        <f>IF(AND(BN$7=условия!$E$16,BN$7&lt;$R$7),условия!$E$66*$J$9,IF(AND(BN$7=условия!$E$16,BN$7&gt;=$R$7),условия!$E$64*$J$9,0))</f>
        <v>0</v>
      </c>
      <c r="BO53" s="6">
        <f>IF(AND(BO$7=условия!$E$16,BO$7&lt;$R$7),условия!$E$66*$J$9,IF(AND(BO$7=условия!$E$16,BO$7&gt;=$R$7),условия!$E$64*$J$9,0))</f>
        <v>0</v>
      </c>
      <c r="BP53" s="6">
        <f>IF(AND(BP$7=условия!$E$16,BP$7&lt;$R$7),условия!$E$66*$J$9,IF(AND(BP$7=условия!$E$16,BP$7&gt;=$R$7),условия!$E$64*$J$9,0))</f>
        <v>0</v>
      </c>
      <c r="BQ53" s="6">
        <f>IF(AND(BQ$7=условия!$E$16,BQ$7&lt;$R$7),условия!$E$66*$J$9,IF(AND(BQ$7=условия!$E$16,BQ$7&gt;=$R$7),условия!$E$64*$J$9,0))</f>
        <v>0</v>
      </c>
      <c r="BR53" s="6">
        <f>IF(AND(BR$7=условия!$E$16,BR$7&lt;$R$7),условия!$E$66*$J$9,IF(AND(BR$7=условия!$E$16,BR$7&gt;=$R$7),условия!$E$64*$J$9,0))</f>
        <v>0</v>
      </c>
      <c r="BS53" s="6">
        <f>IF(AND(BS$7=условия!$E$16,BS$7&lt;$R$7),условия!$E$66*$J$9,IF(AND(BS$7=условия!$E$16,BS$7&gt;=$R$7),условия!$E$64*$J$9,0))</f>
        <v>0</v>
      </c>
      <c r="BT53" s="6">
        <f>IF(AND(BT$7=условия!$E$16,BT$7&lt;$R$7),условия!$E$66*$J$9,IF(AND(BT$7=условия!$E$16,BT$7&gt;=$R$7),условия!$E$64*$J$9,0))</f>
        <v>0</v>
      </c>
      <c r="BU53" s="6">
        <f>IF(AND(BU$7=условия!$E$16,BU$7&lt;$R$7),условия!$E$66*$J$9,IF(AND(BU$7=условия!$E$16,BU$7&gt;=$R$7),условия!$E$64*$J$9,0))</f>
        <v>0</v>
      </c>
      <c r="BV53" s="6">
        <f>IF(AND(BV$7=условия!$E$16,BV$7&lt;$R$7),условия!$E$66*$J$9,IF(AND(BV$7=условия!$E$16,BV$7&gt;=$R$7),условия!$E$64*$J$9,0))</f>
        <v>0</v>
      </c>
      <c r="BW53" s="6">
        <f>IF(AND(BW$7=условия!$E$16,BW$7&lt;$R$7),условия!$E$66*$J$9,IF(AND(BW$7=условия!$E$16,BW$7&gt;=$R$7),условия!$E$64*$J$9,0))</f>
        <v>0</v>
      </c>
      <c r="BX53" s="6">
        <f>IF(AND(BX$7=условия!$E$16,BX$7&lt;$R$7),условия!$E$66*$J$9,IF(AND(BX$7=условия!$E$16,BX$7&gt;=$R$7),условия!$E$64*$J$9,0))</f>
        <v>0</v>
      </c>
      <c r="BY53" s="6">
        <f>IF(AND(BY$7=условия!$E$16,BY$7&lt;$R$7),условия!$E$66*$J$9,IF(AND(BY$7=условия!$E$16,BY$7&gt;=$R$7),условия!$E$64*$J$9,0))</f>
        <v>0</v>
      </c>
      <c r="BZ53" s="6">
        <f>IF(AND(BZ$7=условия!$E$16,BZ$7&lt;$R$7),условия!$E$66*$J$9,IF(AND(BZ$7=условия!$E$16,BZ$7&gt;=$R$7),условия!$E$64*$J$9,0))</f>
        <v>0</v>
      </c>
      <c r="CA53" s="6">
        <f>IF(AND(CA$7=условия!$E$16,CA$7&lt;$R$7),условия!$E$66*$J$9,IF(AND(CA$7=условия!$E$16,CA$7&gt;=$R$7),условия!$E$64*$J$9,0))</f>
        <v>0</v>
      </c>
      <c r="CB53" s="6">
        <f>IF(AND(CB$7=условия!$E$16,CB$7&lt;$R$7),условия!$E$66*$J$9,IF(AND(CB$7=условия!$E$16,CB$7&gt;=$R$7),условия!$E$64*$J$9,0))</f>
        <v>0</v>
      </c>
      <c r="CC53" s="6">
        <f>IF(AND(CC$7=условия!$E$16,CC$7&lt;$R$7),условия!$E$66*$J$9,IF(AND(CC$7=условия!$E$16,CC$7&gt;=$R$7),условия!$E$64*$J$9,0))</f>
        <v>0</v>
      </c>
      <c r="CD53" s="6">
        <f>IF(AND(CD$7=условия!$E$16,CD$7&lt;$R$7),условия!$E$66*$J$9,IF(AND(CD$7=условия!$E$16,CD$7&gt;=$R$7),условия!$E$64*$J$9,0))</f>
        <v>0</v>
      </c>
      <c r="CE53" s="6">
        <f>IF(AND(CE$7=условия!$E$16,CE$7&lt;$R$7),условия!$E$66*$J$9,IF(AND(CE$7=условия!$E$16,CE$7&gt;=$R$7),условия!$E$64*$J$9,0))</f>
        <v>0</v>
      </c>
    </row>
    <row r="54" spans="3:83">
      <c r="C54" s="4" t="str">
        <f>IF(условия!$E$9=1,условия!$C$9,IF(условия!$E$10=1,условия!$C$10,IF(условия!$E$11=1,условия!$C$11,"")))</f>
        <v>ОСНО</v>
      </c>
      <c r="E54" s="4" t="s">
        <v>35</v>
      </c>
      <c r="J54" s="43">
        <f>SUM($K54:$CF54)</f>
        <v>179290877.77777779</v>
      </c>
      <c r="L54" s="6">
        <f>IF(L$7=условия!$E$18,$J$53,0)</f>
        <v>0</v>
      </c>
      <c r="M54" s="6">
        <f>IF(M$7=условия!$E$18,$J$53,0)</f>
        <v>0</v>
      </c>
      <c r="N54" s="6">
        <f>IF(N$7=условия!$E$18,$J$53,0)</f>
        <v>0</v>
      </c>
      <c r="O54" s="6">
        <f>IF(O$7=условия!$E$18,$J$53,0)</f>
        <v>0</v>
      </c>
      <c r="P54" s="6">
        <f>IF(P$7=условия!$E$18,$J$53,0)</f>
        <v>0</v>
      </c>
      <c r="Q54" s="6">
        <f>IF(Q$7=условия!$E$18,$J$53,0)</f>
        <v>0</v>
      </c>
      <c r="R54" s="6">
        <f>IF(R$7=условия!$E$18,$J$53,0)</f>
        <v>0</v>
      </c>
      <c r="S54" s="6">
        <f>IF(S$7=условия!$E$18,$J$53,0)</f>
        <v>0</v>
      </c>
      <c r="T54" s="6">
        <f>IF(T$7=условия!$E$18,$J$53,0)</f>
        <v>0</v>
      </c>
      <c r="U54" s="6">
        <f>IF(U$7=условия!$E$18,$J$53,0)</f>
        <v>0</v>
      </c>
      <c r="V54" s="6">
        <f>IF(V$7=условия!$E$18,$J$53,0)</f>
        <v>0</v>
      </c>
      <c r="W54" s="6">
        <f>IF(W$7=условия!$E$18,$J$53,0)</f>
        <v>0</v>
      </c>
      <c r="X54" s="6">
        <f>IF(X$7=условия!$E$18,$J$53,0)</f>
        <v>0</v>
      </c>
      <c r="Y54" s="6">
        <f>IF(Y$7=условия!$E$18,$J$53,0)</f>
        <v>0</v>
      </c>
      <c r="Z54" s="6">
        <f>IF(Z$7=условия!$E$18,$J$53,0)</f>
        <v>0</v>
      </c>
      <c r="AA54" s="6">
        <f>IF(AA$7=условия!$E$18,$J$53,0)</f>
        <v>0</v>
      </c>
      <c r="AB54" s="6">
        <f>IF(AB$7=условия!$E$18,$J$53,0)</f>
        <v>0</v>
      </c>
      <c r="AC54" s="6">
        <f>IF(AC$7=условия!$E$18,$J$53,0)</f>
        <v>0</v>
      </c>
      <c r="AD54" s="6">
        <f>IF(AD$7=условия!$E$18,$J$53,0)</f>
        <v>0</v>
      </c>
      <c r="AE54" s="6">
        <f>IF(AE$7=условия!$E$18,$J$53,0)</f>
        <v>0</v>
      </c>
      <c r="AF54" s="6">
        <f>IF(AF$7=условия!$E$18,$J$53,0)</f>
        <v>0</v>
      </c>
      <c r="AG54" s="6">
        <f>IF(AG$7=условия!$E$18,$J$53,0)</f>
        <v>0</v>
      </c>
      <c r="AH54" s="6">
        <f>IF(AH$7=условия!$E$18,$J$53,0)</f>
        <v>0</v>
      </c>
      <c r="AI54" s="6">
        <f>IF(AI$7=условия!$E$18,$J$53,0)</f>
        <v>0</v>
      </c>
      <c r="AJ54" s="6">
        <f>IF(AJ$7=условия!$E$18,$J$53,0)</f>
        <v>0</v>
      </c>
      <c r="AK54" s="6">
        <f>IF(AK$7=условия!$E$18,$J$53,0)</f>
        <v>0</v>
      </c>
      <c r="AL54" s="6">
        <f>IF(AL$7=условия!$E$18,$J$53,0)</f>
        <v>0</v>
      </c>
      <c r="AM54" s="6">
        <f>IF(AM$7=условия!$E$18,$J$53,0)</f>
        <v>0</v>
      </c>
      <c r="AN54" s="6">
        <f>IF(AN$7=условия!$E$18,$J$53,0)</f>
        <v>0</v>
      </c>
      <c r="AO54" s="6">
        <f>IF(AO$7=условия!$E$18,$J$53,0)</f>
        <v>0</v>
      </c>
      <c r="AP54" s="6">
        <f>IF(AP$7=условия!$E$18,$J$53,0)</f>
        <v>0</v>
      </c>
      <c r="AQ54" s="6">
        <f>IF(AQ$7=условия!$E$18,$J$53,0)</f>
        <v>0</v>
      </c>
      <c r="AR54" s="6">
        <f>IF(AR$7=условия!$E$18,$J$53,0)</f>
        <v>0</v>
      </c>
      <c r="AS54" s="6">
        <f>IF(AS$7=условия!$E$18,$J$53,0)</f>
        <v>0</v>
      </c>
      <c r="AT54" s="6">
        <f>IF(AT$7=условия!$E$18,$J$53,0)</f>
        <v>0</v>
      </c>
      <c r="AU54" s="6">
        <f>IF(AU$7=условия!$E$18,$J$53,0)</f>
        <v>0</v>
      </c>
      <c r="AV54" s="6">
        <f>IF(AV$7=условия!$E$18,$J$53,0)</f>
        <v>0</v>
      </c>
      <c r="AW54" s="6">
        <f>IF(AW$7=условия!$E$18,$J$53,0)</f>
        <v>0</v>
      </c>
      <c r="AX54" s="6">
        <f>IF(AX$7=условия!$E$18,$J$53,0)</f>
        <v>179290877.77777779</v>
      </c>
      <c r="AY54" s="6">
        <f>IF(AY$7=условия!$E$18,$J$53,0)</f>
        <v>0</v>
      </c>
      <c r="AZ54" s="6">
        <f>IF(AZ$7=условия!$E$18,$J$53,0)</f>
        <v>0</v>
      </c>
      <c r="BA54" s="6">
        <f>IF(BA$7=условия!$E$18,$J$53,0)</f>
        <v>0</v>
      </c>
      <c r="BB54" s="6">
        <f>IF(BB$7=условия!$E$18,$J$53,0)</f>
        <v>0</v>
      </c>
      <c r="BC54" s="6">
        <f>IF(BC$7=условия!$E$18,$J$53,0)</f>
        <v>0</v>
      </c>
      <c r="BD54" s="6">
        <f>IF(BD$7=условия!$E$18,$J$53,0)</f>
        <v>0</v>
      </c>
      <c r="BE54" s="6">
        <f>IF(BE$7=условия!$E$18,$J$53,0)</f>
        <v>0</v>
      </c>
      <c r="BF54" s="6">
        <f>IF(BF$7=условия!$E$18,$J$53,0)</f>
        <v>0</v>
      </c>
      <c r="BG54" s="6">
        <f>IF(BG$7=условия!$E$18,$J$53,0)</f>
        <v>0</v>
      </c>
      <c r="BH54" s="6">
        <f>IF(BH$7=условия!$E$18,$J$53,0)</f>
        <v>0</v>
      </c>
      <c r="BI54" s="6">
        <f>IF(BI$7=условия!$E$18,$J$53,0)</f>
        <v>0</v>
      </c>
      <c r="BJ54" s="6">
        <f>IF(BJ$7=условия!$E$18,$J$53,0)</f>
        <v>0</v>
      </c>
      <c r="BK54" s="6">
        <f>IF(BK$7=условия!$E$18,$J$53,0)</f>
        <v>0</v>
      </c>
      <c r="BL54" s="6">
        <f>IF(BL$7=условия!$E$18,$J$53,0)</f>
        <v>0</v>
      </c>
      <c r="BM54" s="6">
        <f>IF(BM$7=условия!$E$18,$J$53,0)</f>
        <v>0</v>
      </c>
      <c r="BN54" s="6">
        <f>IF(BN$7=условия!$E$18,$J$53,0)</f>
        <v>0</v>
      </c>
      <c r="BO54" s="6">
        <f>IF(BO$7=условия!$E$18,$J$53,0)</f>
        <v>0</v>
      </c>
      <c r="BP54" s="6">
        <f>IF(BP$7=условия!$E$18,$J$53,0)</f>
        <v>0</v>
      </c>
      <c r="BQ54" s="6">
        <f>IF(BQ$7=условия!$E$18,$J$53,0)</f>
        <v>0</v>
      </c>
      <c r="BR54" s="6">
        <f>IF(BR$7=условия!$E$18,$J$53,0)</f>
        <v>0</v>
      </c>
      <c r="BS54" s="6">
        <f>IF(BS$7=условия!$E$18,$J$53,0)</f>
        <v>0</v>
      </c>
      <c r="BT54" s="6">
        <f>IF(BT$7=условия!$E$18,$J$53,0)</f>
        <v>0</v>
      </c>
      <c r="BU54" s="6">
        <f>IF(BU$7=условия!$E$18,$J$53,0)</f>
        <v>0</v>
      </c>
      <c r="BV54" s="6">
        <f>IF(BV$7=условия!$E$18,$J$53,0)</f>
        <v>0</v>
      </c>
      <c r="BW54" s="6">
        <f>IF(BW$7=условия!$E$18,$J$53,0)</f>
        <v>0</v>
      </c>
      <c r="BX54" s="6">
        <f>IF(BX$7=условия!$E$18,$J$53,0)</f>
        <v>0</v>
      </c>
      <c r="BY54" s="6">
        <f>IF(BY$7=условия!$E$18,$J$53,0)</f>
        <v>0</v>
      </c>
      <c r="BZ54" s="6">
        <f>IF(BZ$7=условия!$E$18,$J$53,0)</f>
        <v>0</v>
      </c>
      <c r="CA54" s="6">
        <f>IF(CA$7=условия!$E$18,$J$53,0)</f>
        <v>0</v>
      </c>
      <c r="CB54" s="6">
        <f>IF(CB$7=условия!$E$18,$J$53,0)</f>
        <v>0</v>
      </c>
      <c r="CC54" s="6">
        <f>IF(CC$7=условия!$E$18,$J$53,0)</f>
        <v>0</v>
      </c>
      <c r="CD54" s="6">
        <f>IF(CD$7=условия!$E$18,$J$53,0)</f>
        <v>0</v>
      </c>
      <c r="CE54" s="6">
        <f>IF(CE$7=условия!$E$18,$J$53,0)</f>
        <v>0</v>
      </c>
    </row>
    <row r="55" spans="3:83">
      <c r="C55" s="4" t="str">
        <f>IF(условия!$E$9=1,условия!$C$9,IF(условия!$E$10=1,условия!$C$10,IF(условия!$E$11=1,условия!$C$11,"")))</f>
        <v>ОСНО</v>
      </c>
      <c r="E55" s="4" t="s">
        <v>36</v>
      </c>
      <c r="J55" s="43">
        <f>SUM($K55:$CF55)</f>
        <v>13446815.833333332</v>
      </c>
      <c r="L55" s="6">
        <f>IF(OR(L$7&lt;условия!$E$16,L$7&gt;=условия!$E$18),0,$J$53*условия!$E$68/12)</f>
        <v>0</v>
      </c>
      <c r="M55" s="6">
        <f>IF(OR(M$7&lt;условия!$E$16,M$7&gt;=условия!$E$18),0,$J$53*условия!$E$68/12)</f>
        <v>0</v>
      </c>
      <c r="N55" s="6">
        <f>IF(OR(N$7&lt;условия!$E$16,N$7&gt;=условия!$E$18),0,$J$53*условия!$E$68/12)</f>
        <v>0</v>
      </c>
      <c r="O55" s="6">
        <f>IF(OR(O$7&lt;условия!$E$16,O$7&gt;=условия!$E$18),0,$J$53*условия!$E$68/12)</f>
        <v>0</v>
      </c>
      <c r="P55" s="6">
        <f>IF(OR(P$7&lt;условия!$E$16,P$7&gt;=условия!$E$18),0,$J$53*условия!$E$68/12)</f>
        <v>0</v>
      </c>
      <c r="Q55" s="6">
        <f>IF(OR(Q$7&lt;условия!$E$16,Q$7&gt;=условия!$E$18),0,$J$53*условия!$E$68/12)</f>
        <v>0</v>
      </c>
      <c r="R55" s="6">
        <f>IF(OR(R$7&lt;условия!$E$16,R$7&gt;=условия!$E$18),0,$J$53*условия!$E$68/12)</f>
        <v>0</v>
      </c>
      <c r="S55" s="6">
        <f>IF(OR(S$7&lt;условия!$E$16,S$7&gt;=условия!$E$18),0,$J$53*условия!$E$68/12)</f>
        <v>0</v>
      </c>
      <c r="T55" s="6">
        <f>IF(OR(T$7&lt;условия!$E$16,T$7&gt;=условия!$E$18),0,$J$53*условия!$E$68/12)</f>
        <v>0</v>
      </c>
      <c r="U55" s="6">
        <f>IF(OR(U$7&lt;условия!$E$16,U$7&gt;=условия!$E$18),0,$J$53*условия!$E$68/12)</f>
        <v>0</v>
      </c>
      <c r="V55" s="6">
        <f>IF(OR(V$7&lt;условия!$E$16,V$7&gt;=условия!$E$18),0,$J$53*условия!$E$68/12)</f>
        <v>0</v>
      </c>
      <c r="W55" s="6">
        <f>IF(OR(W$7&lt;условия!$E$16,W$7&gt;=условия!$E$18),0,$J$53*условия!$E$68/12)</f>
        <v>0</v>
      </c>
      <c r="X55" s="6">
        <f>IF(OR(X$7&lt;условия!$E$16,X$7&gt;=условия!$E$18),0,$J$53*условия!$E$68/12)</f>
        <v>0</v>
      </c>
      <c r="Y55" s="6">
        <f>IF(OR(Y$7&lt;условия!$E$16,Y$7&gt;=условия!$E$18),0,$J$53*условия!$E$68/12)</f>
        <v>0</v>
      </c>
      <c r="Z55" s="6">
        <f>IF(OR(Z$7&lt;условия!$E$16,Z$7&gt;=условия!$E$18),0,$J$53*условия!$E$68/12)</f>
        <v>0</v>
      </c>
      <c r="AA55" s="6">
        <f>IF(OR(AA$7&lt;условия!$E$16,AA$7&gt;=условия!$E$18),0,$J$53*условия!$E$68/12)</f>
        <v>0</v>
      </c>
      <c r="AB55" s="6">
        <f>IF(OR(AB$7&lt;условия!$E$16,AB$7&gt;=условия!$E$18),0,$J$53*условия!$E$68/12)</f>
        <v>0</v>
      </c>
      <c r="AC55" s="6">
        <f>IF(OR(AC$7&lt;условия!$E$16,AC$7&gt;=условия!$E$18),0,$J$53*условия!$E$68/12)</f>
        <v>0</v>
      </c>
      <c r="AD55" s="6">
        <f>IF(OR(AD$7&lt;условия!$E$16,AD$7&gt;=условия!$E$18),0,$J$53*условия!$E$68/12)</f>
        <v>0</v>
      </c>
      <c r="AE55" s="6">
        <f>IF(OR(AE$7&lt;условия!$E$16,AE$7&gt;=условия!$E$18),0,$J$53*условия!$E$68/12)</f>
        <v>0</v>
      </c>
      <c r="AF55" s="6">
        <f>IF(OR(AF$7&lt;условия!$E$16,AF$7&gt;=условия!$E$18),0,$J$53*условия!$E$68/12)</f>
        <v>0</v>
      </c>
      <c r="AG55" s="6">
        <f>IF(OR(AG$7&lt;условия!$E$16,AG$7&gt;=условия!$E$18),0,$J$53*условия!$E$68/12)</f>
        <v>0</v>
      </c>
      <c r="AH55" s="6">
        <f>IF(OR(AH$7&lt;условия!$E$16,AH$7&gt;=условия!$E$18),0,$J$53*условия!$E$68/12)</f>
        <v>0</v>
      </c>
      <c r="AI55" s="6">
        <f>IF(OR(AI$7&lt;условия!$E$16,AI$7&gt;=условия!$E$18),0,$J$53*условия!$E$68/12)</f>
        <v>896454.38888888899</v>
      </c>
      <c r="AJ55" s="6">
        <f>IF(OR(AJ$7&lt;условия!$E$16,AJ$7&gt;=условия!$E$18),0,$J$53*условия!$E$68/12)</f>
        <v>896454.38888888899</v>
      </c>
      <c r="AK55" s="6">
        <f>IF(OR(AK$7&lt;условия!$E$16,AK$7&gt;=условия!$E$18),0,$J$53*условия!$E$68/12)</f>
        <v>896454.38888888899</v>
      </c>
      <c r="AL55" s="6">
        <f>IF(OR(AL$7&lt;условия!$E$16,AL$7&gt;=условия!$E$18),0,$J$53*условия!$E$68/12)</f>
        <v>896454.38888888899</v>
      </c>
      <c r="AM55" s="6">
        <f>IF(OR(AM$7&lt;условия!$E$16,AM$7&gt;=условия!$E$18),0,$J$53*условия!$E$68/12)</f>
        <v>896454.38888888899</v>
      </c>
      <c r="AN55" s="6">
        <f>IF(OR(AN$7&lt;условия!$E$16,AN$7&gt;=условия!$E$18),0,$J$53*условия!$E$68/12)</f>
        <v>896454.38888888899</v>
      </c>
      <c r="AO55" s="6">
        <f>IF(OR(AO$7&lt;условия!$E$16,AO$7&gt;=условия!$E$18),0,$J$53*условия!$E$68/12)</f>
        <v>896454.38888888899</v>
      </c>
      <c r="AP55" s="6">
        <f>IF(OR(AP$7&lt;условия!$E$16,AP$7&gt;=условия!$E$18),0,$J$53*условия!$E$68/12)</f>
        <v>896454.38888888899</v>
      </c>
      <c r="AQ55" s="6">
        <f>IF(OR(AQ$7&lt;условия!$E$16,AQ$7&gt;=условия!$E$18),0,$J$53*условия!$E$68/12)</f>
        <v>896454.38888888899</v>
      </c>
      <c r="AR55" s="6">
        <f>IF(OR(AR$7&lt;условия!$E$16,AR$7&gt;=условия!$E$18),0,$J$53*условия!$E$68/12)</f>
        <v>896454.38888888899</v>
      </c>
      <c r="AS55" s="6">
        <f>IF(OR(AS$7&lt;условия!$E$16,AS$7&gt;=условия!$E$18),0,$J$53*условия!$E$68/12)</f>
        <v>896454.38888888899</v>
      </c>
      <c r="AT55" s="6">
        <f>IF(OR(AT$7&lt;условия!$E$16,AT$7&gt;=условия!$E$18),0,$J$53*условия!$E$68/12)</f>
        <v>896454.38888888899</v>
      </c>
      <c r="AU55" s="6">
        <f>IF(OR(AU$7&lt;условия!$E$16,AU$7&gt;=условия!$E$18),0,$J$53*условия!$E$68/12)</f>
        <v>896454.38888888899</v>
      </c>
      <c r="AV55" s="6">
        <f>IF(OR(AV$7&lt;условия!$E$16,AV$7&gt;=условия!$E$18),0,$J$53*условия!$E$68/12)</f>
        <v>896454.38888888899</v>
      </c>
      <c r="AW55" s="6">
        <f>IF(OR(AW$7&lt;условия!$E$16,AW$7&gt;=условия!$E$18),0,$J$53*условия!$E$68/12)</f>
        <v>896454.38888888899</v>
      </c>
      <c r="AX55" s="6">
        <f>IF(OR(AX$7&lt;условия!$E$16,AX$7&gt;=условия!$E$18),0,$J$53*условия!$E$68/12)</f>
        <v>0</v>
      </c>
      <c r="AY55" s="6">
        <f>IF(OR(AY$7&lt;условия!$E$16,AY$7&gt;=условия!$E$18),0,$J$53*условия!$E$68/12)</f>
        <v>0</v>
      </c>
      <c r="AZ55" s="6">
        <f>IF(OR(AZ$7&lt;условия!$E$16,AZ$7&gt;=условия!$E$18),0,$J$53*условия!$E$68/12)</f>
        <v>0</v>
      </c>
      <c r="BA55" s="6">
        <f>IF(OR(BA$7&lt;условия!$E$16,BA$7&gt;=условия!$E$18),0,$J$53*условия!$E$68/12)</f>
        <v>0</v>
      </c>
      <c r="BB55" s="6">
        <f>IF(OR(BB$7&lt;условия!$E$16,BB$7&gt;=условия!$E$18),0,$J$53*условия!$E$68/12)</f>
        <v>0</v>
      </c>
      <c r="BC55" s="6">
        <f>IF(OR(BC$7&lt;условия!$E$16,BC$7&gt;=условия!$E$18),0,$J$53*условия!$E$68/12)</f>
        <v>0</v>
      </c>
      <c r="BD55" s="6">
        <f>IF(OR(BD$7&lt;условия!$E$16,BD$7&gt;=условия!$E$18),0,$J$53*условия!$E$68/12)</f>
        <v>0</v>
      </c>
      <c r="BE55" s="6">
        <f>IF(OR(BE$7&lt;условия!$E$16,BE$7&gt;=условия!$E$18),0,$J$53*условия!$E$68/12)</f>
        <v>0</v>
      </c>
      <c r="BF55" s="6">
        <f>IF(OR(BF$7&lt;условия!$E$16,BF$7&gt;=условия!$E$18),0,$J$53*условия!$E$68/12)</f>
        <v>0</v>
      </c>
      <c r="BG55" s="6">
        <f>IF(OR(BG$7&lt;условия!$E$16,BG$7&gt;=условия!$E$18),0,$J$53*условия!$E$68/12)</f>
        <v>0</v>
      </c>
      <c r="BH55" s="6">
        <f>IF(OR(BH$7&lt;условия!$E$16,BH$7&gt;=условия!$E$18),0,$J$53*условия!$E$68/12)</f>
        <v>0</v>
      </c>
      <c r="BI55" s="6">
        <f>IF(OR(BI$7&lt;условия!$E$16,BI$7&gt;=условия!$E$18),0,$J$53*условия!$E$68/12)</f>
        <v>0</v>
      </c>
      <c r="BJ55" s="6">
        <f>IF(OR(BJ$7&lt;условия!$E$16,BJ$7&gt;=условия!$E$18),0,$J$53*условия!$E$68/12)</f>
        <v>0</v>
      </c>
      <c r="BK55" s="6">
        <f>IF(OR(BK$7&lt;условия!$E$16,BK$7&gt;=условия!$E$18),0,$J$53*условия!$E$68/12)</f>
        <v>0</v>
      </c>
      <c r="BL55" s="6">
        <f>IF(OR(BL$7&lt;условия!$E$16,BL$7&gt;=условия!$E$18),0,$J$53*условия!$E$68/12)</f>
        <v>0</v>
      </c>
      <c r="BM55" s="6">
        <f>IF(OR(BM$7&lt;условия!$E$16,BM$7&gt;=условия!$E$18),0,$J$53*условия!$E$68/12)</f>
        <v>0</v>
      </c>
      <c r="BN55" s="6">
        <f>IF(OR(BN$7&lt;условия!$E$16,BN$7&gt;=условия!$E$18),0,$J$53*условия!$E$68/12)</f>
        <v>0</v>
      </c>
      <c r="BO55" s="6">
        <f>IF(OR(BO$7&lt;условия!$E$16,BO$7&gt;=условия!$E$18),0,$J$53*условия!$E$68/12)</f>
        <v>0</v>
      </c>
      <c r="BP55" s="6">
        <f>IF(OR(BP$7&lt;условия!$E$16,BP$7&gt;=условия!$E$18),0,$J$53*условия!$E$68/12)</f>
        <v>0</v>
      </c>
      <c r="BQ55" s="6">
        <f>IF(OR(BQ$7&lt;условия!$E$16,BQ$7&gt;=условия!$E$18),0,$J$53*условия!$E$68/12)</f>
        <v>0</v>
      </c>
      <c r="BR55" s="6">
        <f>IF(OR(BR$7&lt;условия!$E$16,BR$7&gt;=условия!$E$18),0,$J$53*условия!$E$68/12)</f>
        <v>0</v>
      </c>
      <c r="BS55" s="6">
        <f>IF(OR(BS$7&lt;условия!$E$16,BS$7&gt;=условия!$E$18),0,$J$53*условия!$E$68/12)</f>
        <v>0</v>
      </c>
      <c r="BT55" s="6">
        <f>IF(OR(BT$7&lt;условия!$E$16,BT$7&gt;=условия!$E$18),0,$J$53*условия!$E$68/12)</f>
        <v>0</v>
      </c>
      <c r="BU55" s="6">
        <f>IF(OR(BU$7&lt;условия!$E$16,BU$7&gt;=условия!$E$18),0,$J$53*условия!$E$68/12)</f>
        <v>0</v>
      </c>
      <c r="BV55" s="6">
        <f>IF(OR(BV$7&lt;условия!$E$16,BV$7&gt;=условия!$E$18),0,$J$53*условия!$E$68/12)</f>
        <v>0</v>
      </c>
      <c r="BW55" s="6">
        <f>IF(OR(BW$7&lt;условия!$E$16,BW$7&gt;=условия!$E$18),0,$J$53*условия!$E$68/12)</f>
        <v>0</v>
      </c>
      <c r="BX55" s="6">
        <f>IF(OR(BX$7&lt;условия!$E$16,BX$7&gt;=условия!$E$18),0,$J$53*условия!$E$68/12)</f>
        <v>0</v>
      </c>
      <c r="BY55" s="6">
        <f>IF(OR(BY$7&lt;условия!$E$16,BY$7&gt;=условия!$E$18),0,$J$53*условия!$E$68/12)</f>
        <v>0</v>
      </c>
      <c r="BZ55" s="6">
        <f>IF(OR(BZ$7&lt;условия!$E$16,BZ$7&gt;=условия!$E$18),0,$J$53*условия!$E$68/12)</f>
        <v>0</v>
      </c>
      <c r="CA55" s="6">
        <f>IF(OR(CA$7&lt;условия!$E$16,CA$7&gt;=условия!$E$18),0,$J$53*условия!$E$68/12)</f>
        <v>0</v>
      </c>
      <c r="CB55" s="6">
        <f>IF(OR(CB$7&lt;условия!$E$16,CB$7&gt;=условия!$E$18),0,$J$53*условия!$E$68/12)</f>
        <v>0</v>
      </c>
      <c r="CC55" s="6">
        <f>IF(OR(CC$7&lt;условия!$E$16,CC$7&gt;=условия!$E$18),0,$J$53*условия!$E$68/12)</f>
        <v>0</v>
      </c>
      <c r="CD55" s="6">
        <f>IF(OR(CD$7&lt;условия!$E$16,CD$7&gt;=условия!$E$18),0,$J$53*условия!$E$68/12)</f>
        <v>0</v>
      </c>
      <c r="CE55" s="6">
        <f>IF(OR(CE$7&lt;условия!$E$16,CE$7&gt;=условия!$E$18),0,$J$53*условия!$E$68/12)</f>
        <v>0</v>
      </c>
    </row>
    <row r="56" spans="3:83">
      <c r="C56" s="4" t="str">
        <f>IF(условия!$E$9=1,условия!$C$9,IF(условия!$E$10=1,условия!$C$10,IF(условия!$E$11=1,условия!$C$11,"")))</f>
        <v>ОСНО</v>
      </c>
    </row>
    <row r="57" spans="3:83" s="3" customFormat="1">
      <c r="C57" s="3" t="str">
        <f>IF(условия!$E$9=1,условия!$C$9,IF(условия!$E$10=1,условия!$C$10,IF(условия!$E$11=1,условия!$C$11,"")))</f>
        <v>ОСНО</v>
      </c>
      <c r="E57" s="3" t="s">
        <v>40</v>
      </c>
      <c r="G57" s="33"/>
      <c r="I57" s="9"/>
      <c r="J57" s="43">
        <f>SUM($K57:$CF57)</f>
        <v>300000000</v>
      </c>
      <c r="K57" s="69"/>
      <c r="L57" s="7">
        <f>условия!$E$13</f>
        <v>300000000</v>
      </c>
    </row>
    <row r="58" spans="3:83">
      <c r="C58" s="4" t="str">
        <f>IF(условия!$E$9=1,условия!$C$9,IF(условия!$E$10=1,условия!$C$10,IF(условия!$E$11=1,условия!$C$11,"")))</f>
        <v>ОСНО</v>
      </c>
      <c r="E58" s="4" t="s">
        <v>32</v>
      </c>
      <c r="J58" s="43">
        <f>SUM($K58:$CF58)</f>
        <v>3036282693.6111112</v>
      </c>
      <c r="L58" s="6">
        <f t="shared" ref="L58:AQ58" si="43">L57+L25+L54+L55</f>
        <v>300000000</v>
      </c>
      <c r="M58" s="6">
        <f t="shared" si="43"/>
        <v>0</v>
      </c>
      <c r="N58" s="6">
        <f t="shared" si="43"/>
        <v>0</v>
      </c>
      <c r="O58" s="6">
        <f t="shared" si="43"/>
        <v>0</v>
      </c>
      <c r="P58" s="6">
        <f t="shared" si="43"/>
        <v>0</v>
      </c>
      <c r="Q58" s="6">
        <f t="shared" si="43"/>
        <v>0</v>
      </c>
      <c r="R58" s="6">
        <f t="shared" si="43"/>
        <v>0</v>
      </c>
      <c r="S58" s="6">
        <f t="shared" si="43"/>
        <v>0</v>
      </c>
      <c r="T58" s="6">
        <f t="shared" si="43"/>
        <v>0</v>
      </c>
      <c r="U58" s="6">
        <f t="shared" si="43"/>
        <v>0</v>
      </c>
      <c r="V58" s="6">
        <f t="shared" si="43"/>
        <v>0</v>
      </c>
      <c r="W58" s="6">
        <f t="shared" si="43"/>
        <v>0</v>
      </c>
      <c r="X58" s="6">
        <f t="shared" si="43"/>
        <v>0</v>
      </c>
      <c r="Y58" s="6">
        <f t="shared" si="43"/>
        <v>0</v>
      </c>
      <c r="Z58" s="6">
        <f t="shared" si="43"/>
        <v>0</v>
      </c>
      <c r="AA58" s="6">
        <f t="shared" si="43"/>
        <v>0</v>
      </c>
      <c r="AB58" s="6">
        <f t="shared" si="43"/>
        <v>0</v>
      </c>
      <c r="AC58" s="6">
        <f t="shared" si="43"/>
        <v>0</v>
      </c>
      <c r="AD58" s="6">
        <f t="shared" si="43"/>
        <v>0</v>
      </c>
      <c r="AE58" s="6">
        <f t="shared" si="43"/>
        <v>0</v>
      </c>
      <c r="AF58" s="6">
        <f t="shared" si="43"/>
        <v>0</v>
      </c>
      <c r="AG58" s="6">
        <f t="shared" si="43"/>
        <v>0</v>
      </c>
      <c r="AH58" s="6">
        <f t="shared" si="43"/>
        <v>0</v>
      </c>
      <c r="AI58" s="6">
        <f t="shared" si="43"/>
        <v>896454.38888888899</v>
      </c>
      <c r="AJ58" s="6">
        <f t="shared" si="43"/>
        <v>896454.38888888899</v>
      </c>
      <c r="AK58" s="6">
        <f t="shared" si="43"/>
        <v>5888005.7722880989</v>
      </c>
      <c r="AL58" s="6">
        <f t="shared" si="43"/>
        <v>10879557.15568731</v>
      </c>
      <c r="AM58" s="6">
        <f t="shared" si="43"/>
        <v>15871108.539086517</v>
      </c>
      <c r="AN58" s="6">
        <f t="shared" si="43"/>
        <v>20862659.922485728</v>
      </c>
      <c r="AO58" s="6">
        <f t="shared" si="43"/>
        <v>25854211.305884935</v>
      </c>
      <c r="AP58" s="6">
        <f t="shared" si="43"/>
        <v>30845762.689284146</v>
      </c>
      <c r="AQ58" s="6">
        <f t="shared" si="43"/>
        <v>35837314.072683357</v>
      </c>
      <c r="AR58" s="6">
        <f t="shared" ref="AR58:BW58" si="44">AR57+AR25+AR54+AR55</f>
        <v>40828865.456082568</v>
      </c>
      <c r="AS58" s="6">
        <f t="shared" si="44"/>
        <v>45820416.839481771</v>
      </c>
      <c r="AT58" s="6">
        <f t="shared" si="44"/>
        <v>50811968.222880982</v>
      </c>
      <c r="AU58" s="6">
        <f t="shared" si="44"/>
        <v>55803519.606280185</v>
      </c>
      <c r="AV58" s="6">
        <f t="shared" si="44"/>
        <v>60795070.989679404</v>
      </c>
      <c r="AW58" s="6">
        <f t="shared" si="44"/>
        <v>65786622.373078622</v>
      </c>
      <c r="AX58" s="6">
        <f t="shared" si="44"/>
        <v>249172597.14536673</v>
      </c>
      <c r="AY58" s="6">
        <f t="shared" si="44"/>
        <v>75413270.750988141</v>
      </c>
      <c r="AZ58" s="6">
        <f t="shared" si="44"/>
        <v>80404822.134387359</v>
      </c>
      <c r="BA58" s="6">
        <f t="shared" si="44"/>
        <v>85396373.517786562</v>
      </c>
      <c r="BB58" s="6">
        <f t="shared" si="44"/>
        <v>90387924.901185766</v>
      </c>
      <c r="BC58" s="6">
        <f t="shared" si="44"/>
        <v>95379476.284584984</v>
      </c>
      <c r="BD58" s="6">
        <f t="shared" si="44"/>
        <v>100371027.66798419</v>
      </c>
      <c r="BE58" s="6">
        <f t="shared" si="44"/>
        <v>105362579.05138341</v>
      </c>
      <c r="BF58" s="6">
        <f t="shared" si="44"/>
        <v>106130510.03344481</v>
      </c>
      <c r="BG58" s="6">
        <f t="shared" si="44"/>
        <v>101906889.632107</v>
      </c>
      <c r="BH58" s="6">
        <f t="shared" si="44"/>
        <v>97683269.230769217</v>
      </c>
      <c r="BI58" s="6">
        <f t="shared" si="44"/>
        <v>93459648.829431444</v>
      </c>
      <c r="BJ58" s="6">
        <f t="shared" si="44"/>
        <v>89236028.428093642</v>
      </c>
      <c r="BK58" s="6">
        <f t="shared" si="44"/>
        <v>85012408.026755854</v>
      </c>
      <c r="BL58" s="6">
        <f t="shared" si="44"/>
        <v>80788787.625418052</v>
      </c>
      <c r="BM58" s="6">
        <f t="shared" si="44"/>
        <v>76565167.224080265</v>
      </c>
      <c r="BN58" s="6">
        <f t="shared" si="44"/>
        <v>72341546.822742477</v>
      </c>
      <c r="BO58" s="6">
        <f t="shared" si="44"/>
        <v>68117926.421404675</v>
      </c>
      <c r="BP58" s="6">
        <f t="shared" si="44"/>
        <v>63894306.02006688</v>
      </c>
      <c r="BQ58" s="6">
        <f t="shared" si="44"/>
        <v>59670685.618729092</v>
      </c>
      <c r="BR58" s="6">
        <f t="shared" si="44"/>
        <v>55447065.217391297</v>
      </c>
      <c r="BS58" s="6">
        <f t="shared" si="44"/>
        <v>51223444.816053502</v>
      </c>
      <c r="BT58" s="6">
        <f t="shared" si="44"/>
        <v>46999824.414715722</v>
      </c>
      <c r="BU58" s="6">
        <f t="shared" si="44"/>
        <v>42776204.013377927</v>
      </c>
      <c r="BV58" s="6">
        <f t="shared" si="44"/>
        <v>38552583.612040132</v>
      </c>
      <c r="BW58" s="6">
        <f t="shared" si="44"/>
        <v>34328963.210702337</v>
      </c>
      <c r="BX58" s="6">
        <f t="shared" ref="BX58:CE58" si="45">BX57+BX25+BX54+BX55</f>
        <v>30105342.809364546</v>
      </c>
      <c r="BY58" s="6">
        <f t="shared" si="45"/>
        <v>25881722.408026751</v>
      </c>
      <c r="BZ58" s="6">
        <f t="shared" si="45"/>
        <v>21658102.006688964</v>
      </c>
      <c r="CA58" s="6">
        <f t="shared" si="45"/>
        <v>17434481.605351169</v>
      </c>
      <c r="CB58" s="6">
        <f t="shared" si="45"/>
        <v>13210861.204013376</v>
      </c>
      <c r="CC58" s="6">
        <f t="shared" si="45"/>
        <v>8987240.8026755843</v>
      </c>
      <c r="CD58" s="6">
        <f t="shared" si="45"/>
        <v>4763620.4013377931</v>
      </c>
      <c r="CE58" s="6">
        <f t="shared" si="45"/>
        <v>540000.00000000012</v>
      </c>
    </row>
    <row r="59" spans="3:83">
      <c r="C59" s="4" t="str">
        <f>IF(условия!$E$9=1,условия!$C$9,IF(условия!$E$10=1,условия!$C$10,IF(условия!$E$11=1,условия!$C$11,"")))</f>
        <v>ОСНО</v>
      </c>
      <c r="E59" s="4" t="s">
        <v>33</v>
      </c>
      <c r="J59" s="43">
        <f>SUM($K59:$CF59)</f>
        <v>2155283256.9881396</v>
      </c>
      <c r="L59" s="6">
        <f>L9+L35+K44+K49+L53</f>
        <v>75025000</v>
      </c>
      <c r="M59" s="6">
        <f t="shared" ref="M59:BX59" si="46">M9+M35+L44+L49+M53</f>
        <v>62525000</v>
      </c>
      <c r="N59" s="6">
        <f t="shared" si="46"/>
        <v>62525000</v>
      </c>
      <c r="O59" s="6">
        <f t="shared" si="46"/>
        <v>2525000</v>
      </c>
      <c r="P59" s="6">
        <f t="shared" si="46"/>
        <v>12525000</v>
      </c>
      <c r="Q59" s="6">
        <f t="shared" si="46"/>
        <v>12525000</v>
      </c>
      <c r="R59" s="6">
        <f t="shared" si="46"/>
        <v>9525000</v>
      </c>
      <c r="S59" s="6">
        <f t="shared" si="46"/>
        <v>10025000</v>
      </c>
      <c r="T59" s="6">
        <f t="shared" si="46"/>
        <v>10025000</v>
      </c>
      <c r="U59" s="6">
        <f t="shared" si="46"/>
        <v>2225000</v>
      </c>
      <c r="V59" s="6">
        <f t="shared" si="46"/>
        <v>3525000</v>
      </c>
      <c r="W59" s="6">
        <f t="shared" si="46"/>
        <v>3525000</v>
      </c>
      <c r="X59" s="6">
        <f t="shared" si="46"/>
        <v>3525000</v>
      </c>
      <c r="Y59" s="6">
        <f t="shared" si="46"/>
        <v>3525000</v>
      </c>
      <c r="Z59" s="6">
        <f t="shared" si="46"/>
        <v>3525000</v>
      </c>
      <c r="AA59" s="6">
        <f t="shared" si="46"/>
        <v>3525000</v>
      </c>
      <c r="AB59" s="6">
        <f t="shared" si="46"/>
        <v>3525000</v>
      </c>
      <c r="AC59" s="6">
        <f t="shared" si="46"/>
        <v>3525000</v>
      </c>
      <c r="AD59" s="6">
        <f t="shared" si="46"/>
        <v>3525000</v>
      </c>
      <c r="AE59" s="6">
        <f t="shared" si="46"/>
        <v>3525000</v>
      </c>
      <c r="AF59" s="6">
        <f t="shared" si="46"/>
        <v>3525000</v>
      </c>
      <c r="AG59" s="6">
        <f t="shared" si="46"/>
        <v>3525000</v>
      </c>
      <c r="AH59" s="6">
        <f t="shared" si="46"/>
        <v>3525000</v>
      </c>
      <c r="AI59" s="6">
        <f t="shared" si="46"/>
        <v>182815877.77777779</v>
      </c>
      <c r="AJ59" s="6">
        <f t="shared" si="46"/>
        <v>119082037.03703703</v>
      </c>
      <c r="AK59" s="6">
        <f t="shared" si="46"/>
        <v>102486797.18912773</v>
      </c>
      <c r="AL59" s="6">
        <f t="shared" si="46"/>
        <v>99991377.764655709</v>
      </c>
      <c r="AM59" s="6">
        <f t="shared" si="46"/>
        <v>97495958.34018366</v>
      </c>
      <c r="AN59" s="6">
        <f t="shared" si="46"/>
        <v>95000538.915711612</v>
      </c>
      <c r="AO59" s="6">
        <f t="shared" si="46"/>
        <v>92505119.491239607</v>
      </c>
      <c r="AP59" s="6">
        <f t="shared" si="46"/>
        <v>90097847.074543744</v>
      </c>
      <c r="AQ59" s="6">
        <f t="shared" si="46"/>
        <v>87751096.409317896</v>
      </c>
      <c r="AR59" s="6">
        <f t="shared" si="46"/>
        <v>85419022.348189309</v>
      </c>
      <c r="AS59" s="6">
        <f t="shared" si="46"/>
        <v>83601595.537949741</v>
      </c>
      <c r="AT59" s="6">
        <f t="shared" si="46"/>
        <v>81214453.350764126</v>
      </c>
      <c r="AU59" s="6">
        <f t="shared" si="46"/>
        <v>78925401.884053022</v>
      </c>
      <c r="AV59" s="6">
        <f t="shared" si="46"/>
        <v>76650911.623042122</v>
      </c>
      <c r="AW59" s="6">
        <f t="shared" si="46"/>
        <v>74390953.445320055</v>
      </c>
      <c r="AX59" s="6">
        <f t="shared" si="46"/>
        <v>72145498.286720261</v>
      </c>
      <c r="AY59" s="6">
        <f t="shared" si="46"/>
        <v>8584571.0930747557</v>
      </c>
      <c r="AZ59" s="6">
        <f t="shared" si="46"/>
        <v>13023076.078262702</v>
      </c>
      <c r="BA59" s="6">
        <f t="shared" si="46"/>
        <v>13929879.940858603</v>
      </c>
      <c r="BB59" s="6">
        <f t="shared" si="46"/>
        <v>14838941.782557486</v>
      </c>
      <c r="BC59" s="6">
        <f t="shared" si="46"/>
        <v>15757347.585395569</v>
      </c>
      <c r="BD59" s="6">
        <f t="shared" si="46"/>
        <v>16685186.273026038</v>
      </c>
      <c r="BE59" s="6">
        <f t="shared" si="46"/>
        <v>17622533.486374535</v>
      </c>
      <c r="BF59" s="6">
        <f t="shared" si="46"/>
        <v>18213303.910728455</v>
      </c>
      <c r="BG59" s="6">
        <f t="shared" si="46"/>
        <v>18079150.994927</v>
      </c>
      <c r="BH59" s="6">
        <f t="shared" si="46"/>
        <v>14676305.128105506</v>
      </c>
      <c r="BI59" s="6">
        <f t="shared" si="46"/>
        <v>14650283.483709853</v>
      </c>
      <c r="BJ59" s="6">
        <f t="shared" si="46"/>
        <v>14140891.68986634</v>
      </c>
      <c r="BK59" s="6">
        <f t="shared" si="46"/>
        <v>13624709.063302308</v>
      </c>
      <c r="BL59" s="6">
        <f t="shared" si="46"/>
        <v>13102634.435989439</v>
      </c>
      <c r="BM59" s="6">
        <f t="shared" si="46"/>
        <v>12528715.277898289</v>
      </c>
      <c r="BN59" s="6">
        <f t="shared" si="46"/>
        <v>11858887.004718527</v>
      </c>
      <c r="BO59" s="6">
        <f t="shared" si="46"/>
        <v>11189058.731538763</v>
      </c>
      <c r="BP59" s="6">
        <f t="shared" si="46"/>
        <v>10519230.458358997</v>
      </c>
      <c r="BQ59" s="6">
        <f t="shared" si="46"/>
        <v>9849402.1851792317</v>
      </c>
      <c r="BR59" s="6">
        <f t="shared" si="46"/>
        <v>9179573.9119994696</v>
      </c>
      <c r="BS59" s="6">
        <f t="shared" si="46"/>
        <v>8509745.6388197038</v>
      </c>
      <c r="BT59" s="6">
        <f t="shared" si="46"/>
        <v>7839917.3656399408</v>
      </c>
      <c r="BU59" s="6">
        <f t="shared" si="46"/>
        <v>7170089.092460175</v>
      </c>
      <c r="BV59" s="6">
        <f t="shared" si="46"/>
        <v>6500260.8192804111</v>
      </c>
      <c r="BW59" s="6">
        <f t="shared" si="46"/>
        <v>5830432.5461006463</v>
      </c>
      <c r="BX59" s="6">
        <f t="shared" si="46"/>
        <v>5160604.2729208814</v>
      </c>
      <c r="BY59" s="6">
        <f t="shared" ref="BY59:CE59" si="47">BY9+BY35+BX44+BX49+BY53</f>
        <v>4490775.9997411184</v>
      </c>
      <c r="BZ59" s="6">
        <f t="shared" si="47"/>
        <v>3820947.7265613526</v>
      </c>
      <c r="CA59" s="6">
        <f t="shared" si="47"/>
        <v>3151119.4533815882</v>
      </c>
      <c r="CB59" s="6">
        <f t="shared" si="47"/>
        <v>2481291.1802018238</v>
      </c>
      <c r="CC59" s="6">
        <f t="shared" si="47"/>
        <v>1811462.9070220597</v>
      </c>
      <c r="CD59" s="6">
        <f t="shared" si="47"/>
        <v>1141634.633842295</v>
      </c>
      <c r="CE59" s="6">
        <f t="shared" si="47"/>
        <v>471806.36066253064</v>
      </c>
    </row>
    <row r="60" spans="3:83" s="3" customFormat="1">
      <c r="C60" s="3" t="str">
        <f>IF(условия!$E$9=1,условия!$C$9,IF(условия!$E$10=1,условия!$C$10,IF(условия!$E$11=1,условия!$C$11,"")))</f>
        <v>ОСНО</v>
      </c>
      <c r="E60" s="3" t="s">
        <v>37</v>
      </c>
      <c r="G60" s="33"/>
      <c r="I60" s="9"/>
      <c r="J60" s="43">
        <f>SUM($K60:$CF60)</f>
        <v>880999436.62297106</v>
      </c>
      <c r="K60" s="69"/>
      <c r="L60" s="7">
        <f>L58-L59</f>
        <v>224975000</v>
      </c>
      <c r="M60" s="7">
        <f t="shared" ref="M60:BX60" si="48">M58-M59</f>
        <v>-62525000</v>
      </c>
      <c r="N60" s="7">
        <f t="shared" si="48"/>
        <v>-62525000</v>
      </c>
      <c r="O60" s="7">
        <f t="shared" si="48"/>
        <v>-2525000</v>
      </c>
      <c r="P60" s="7">
        <f t="shared" si="48"/>
        <v>-12525000</v>
      </c>
      <c r="Q60" s="7">
        <f t="shared" si="48"/>
        <v>-12525000</v>
      </c>
      <c r="R60" s="7">
        <f t="shared" si="48"/>
        <v>-9525000</v>
      </c>
      <c r="S60" s="7">
        <f t="shared" si="48"/>
        <v>-10025000</v>
      </c>
      <c r="T60" s="7">
        <f t="shared" si="48"/>
        <v>-10025000</v>
      </c>
      <c r="U60" s="7">
        <f t="shared" si="48"/>
        <v>-2225000</v>
      </c>
      <c r="V60" s="7">
        <f t="shared" si="48"/>
        <v>-3525000</v>
      </c>
      <c r="W60" s="7">
        <f t="shared" si="48"/>
        <v>-3525000</v>
      </c>
      <c r="X60" s="7">
        <f t="shared" si="48"/>
        <v>-3525000</v>
      </c>
      <c r="Y60" s="7">
        <f t="shared" si="48"/>
        <v>-3525000</v>
      </c>
      <c r="Z60" s="7">
        <f t="shared" si="48"/>
        <v>-3525000</v>
      </c>
      <c r="AA60" s="7">
        <f t="shared" si="48"/>
        <v>-3525000</v>
      </c>
      <c r="AB60" s="7">
        <f t="shared" si="48"/>
        <v>-3525000</v>
      </c>
      <c r="AC60" s="7">
        <f t="shared" si="48"/>
        <v>-3525000</v>
      </c>
      <c r="AD60" s="7">
        <f t="shared" si="48"/>
        <v>-3525000</v>
      </c>
      <c r="AE60" s="7">
        <f t="shared" si="48"/>
        <v>-3525000</v>
      </c>
      <c r="AF60" s="7">
        <f t="shared" si="48"/>
        <v>-3525000</v>
      </c>
      <c r="AG60" s="7">
        <f t="shared" si="48"/>
        <v>-3525000</v>
      </c>
      <c r="AH60" s="7">
        <f t="shared" si="48"/>
        <v>-3525000</v>
      </c>
      <c r="AI60" s="7">
        <f t="shared" si="48"/>
        <v>-181919423.3888889</v>
      </c>
      <c r="AJ60" s="7">
        <f t="shared" si="48"/>
        <v>-118185582.64814813</v>
      </c>
      <c r="AK60" s="7">
        <f t="shared" si="48"/>
        <v>-96598791.416839629</v>
      </c>
      <c r="AL60" s="7">
        <f t="shared" si="48"/>
        <v>-89111820.608968407</v>
      </c>
      <c r="AM60" s="7">
        <f t="shared" si="48"/>
        <v>-81624849.80109714</v>
      </c>
      <c r="AN60" s="7">
        <f t="shared" si="48"/>
        <v>-74137878.993225887</v>
      </c>
      <c r="AO60" s="7">
        <f t="shared" si="48"/>
        <v>-66650908.185354672</v>
      </c>
      <c r="AP60" s="7">
        <f t="shared" si="48"/>
        <v>-59252084.385259598</v>
      </c>
      <c r="AQ60" s="7">
        <f t="shared" si="48"/>
        <v>-51913782.336634539</v>
      </c>
      <c r="AR60" s="7">
        <f t="shared" si="48"/>
        <v>-44590156.892106742</v>
      </c>
      <c r="AS60" s="7">
        <f t="shared" si="48"/>
        <v>-37781178.69846797</v>
      </c>
      <c r="AT60" s="7">
        <f t="shared" si="48"/>
        <v>-30402485.127883144</v>
      </c>
      <c r="AU60" s="7">
        <f t="shared" si="48"/>
        <v>-23121882.277772836</v>
      </c>
      <c r="AV60" s="7">
        <f t="shared" si="48"/>
        <v>-15855840.633362718</v>
      </c>
      <c r="AW60" s="7">
        <f t="shared" si="48"/>
        <v>-8604331.072241433</v>
      </c>
      <c r="AX60" s="7">
        <f t="shared" si="48"/>
        <v>177027098.85864645</v>
      </c>
      <c r="AY60" s="7">
        <f t="shared" si="48"/>
        <v>66828699.657913387</v>
      </c>
      <c r="AZ60" s="7">
        <f t="shared" si="48"/>
        <v>67381746.056124657</v>
      </c>
      <c r="BA60" s="7">
        <f t="shared" si="48"/>
        <v>71466493.57692796</v>
      </c>
      <c r="BB60" s="7">
        <f t="shared" si="48"/>
        <v>75548983.118628278</v>
      </c>
      <c r="BC60" s="7">
        <f t="shared" si="48"/>
        <v>79622128.69918941</v>
      </c>
      <c r="BD60" s="7">
        <f t="shared" si="48"/>
        <v>83685841.394958153</v>
      </c>
      <c r="BE60" s="7">
        <f t="shared" si="48"/>
        <v>87740045.565008879</v>
      </c>
      <c r="BF60" s="7">
        <f t="shared" si="48"/>
        <v>87917206.122716352</v>
      </c>
      <c r="BG60" s="7">
        <f t="shared" si="48"/>
        <v>83827738.637180001</v>
      </c>
      <c r="BH60" s="7">
        <f t="shared" si="48"/>
        <v>83006964.102663711</v>
      </c>
      <c r="BI60" s="7">
        <f t="shared" si="48"/>
        <v>78809365.345721588</v>
      </c>
      <c r="BJ60" s="7">
        <f t="shared" si="48"/>
        <v>75095136.738227308</v>
      </c>
      <c r="BK60" s="7">
        <f t="shared" si="48"/>
        <v>71387698.963453546</v>
      </c>
      <c r="BL60" s="7">
        <f t="shared" si="48"/>
        <v>67686153.189428613</v>
      </c>
      <c r="BM60" s="7">
        <f t="shared" si="48"/>
        <v>64036451.946181975</v>
      </c>
      <c r="BN60" s="7">
        <f t="shared" si="48"/>
        <v>60482659.81802395</v>
      </c>
      <c r="BO60" s="7">
        <f t="shared" si="48"/>
        <v>56928867.68986591</v>
      </c>
      <c r="BP60" s="7">
        <f t="shared" si="48"/>
        <v>53375075.561707884</v>
      </c>
      <c r="BQ60" s="7">
        <f t="shared" si="48"/>
        <v>49821283.433549859</v>
      </c>
      <c r="BR60" s="7">
        <f t="shared" si="48"/>
        <v>46267491.305391826</v>
      </c>
      <c r="BS60" s="7">
        <f t="shared" si="48"/>
        <v>42713699.1772338</v>
      </c>
      <c r="BT60" s="7">
        <f t="shared" si="48"/>
        <v>39159907.049075782</v>
      </c>
      <c r="BU60" s="7">
        <f t="shared" si="48"/>
        <v>35606114.920917749</v>
      </c>
      <c r="BV60" s="7">
        <f t="shared" si="48"/>
        <v>32052322.79275972</v>
      </c>
      <c r="BW60" s="7">
        <f t="shared" si="48"/>
        <v>28498530.664601691</v>
      </c>
      <c r="BX60" s="7">
        <f t="shared" si="48"/>
        <v>24944738.536443666</v>
      </c>
      <c r="BY60" s="7">
        <f t="shared" ref="BY60:CE60" si="49">BY58-BY59</f>
        <v>21390946.408285633</v>
      </c>
      <c r="BZ60" s="7">
        <f t="shared" si="49"/>
        <v>17837154.280127611</v>
      </c>
      <c r="CA60" s="7">
        <f t="shared" si="49"/>
        <v>14283362.15196958</v>
      </c>
      <c r="CB60" s="7">
        <f t="shared" si="49"/>
        <v>10729570.023811553</v>
      </c>
      <c r="CC60" s="7">
        <f t="shared" si="49"/>
        <v>7175777.8956535244</v>
      </c>
      <c r="CD60" s="7">
        <f t="shared" si="49"/>
        <v>3621985.7674954981</v>
      </c>
      <c r="CE60" s="7">
        <f t="shared" si="49"/>
        <v>68193.639337469474</v>
      </c>
    </row>
    <row r="61" spans="3:83">
      <c r="C61" s="4" t="str">
        <f>IF(условия!$E$9=1,условия!$C$9,IF(условия!$E$10=1,условия!$C$10,IF(условия!$E$11=1,условия!$C$11,"")))</f>
        <v>ОСНО</v>
      </c>
    </row>
    <row r="62" spans="3:83" s="3" customFormat="1">
      <c r="C62" s="3" t="str">
        <f>IF(условия!$E$9=1,условия!$C$9,IF(условия!$E$10=1,условия!$C$10,IF(условия!$E$11=1,условия!$C$11,"")))</f>
        <v>ОСНО</v>
      </c>
      <c r="E62" s="3" t="s">
        <v>38</v>
      </c>
      <c r="G62" s="33"/>
      <c r="I62" s="9"/>
      <c r="J62" s="43"/>
      <c r="K62" s="69"/>
      <c r="L62" s="7">
        <f t="shared" ref="L62:AQ62" si="50">K62+L60</f>
        <v>224975000</v>
      </c>
      <c r="M62" s="7">
        <f>L62+M60</f>
        <v>162450000</v>
      </c>
      <c r="N62" s="7">
        <f t="shared" si="50"/>
        <v>99925000</v>
      </c>
      <c r="O62" s="7">
        <f t="shared" si="50"/>
        <v>97400000</v>
      </c>
      <c r="P62" s="7">
        <f t="shared" si="50"/>
        <v>84875000</v>
      </c>
      <c r="Q62" s="7">
        <f t="shared" si="50"/>
        <v>72350000</v>
      </c>
      <c r="R62" s="7">
        <f t="shared" si="50"/>
        <v>62825000</v>
      </c>
      <c r="S62" s="7">
        <f t="shared" si="50"/>
        <v>52800000</v>
      </c>
      <c r="T62" s="7">
        <f t="shared" si="50"/>
        <v>42775000</v>
      </c>
      <c r="U62" s="7">
        <f t="shared" si="50"/>
        <v>40550000</v>
      </c>
      <c r="V62" s="7">
        <f t="shared" si="50"/>
        <v>37025000</v>
      </c>
      <c r="W62" s="7">
        <f t="shared" si="50"/>
        <v>33500000</v>
      </c>
      <c r="X62" s="7">
        <f t="shared" si="50"/>
        <v>29975000</v>
      </c>
      <c r="Y62" s="7">
        <f t="shared" si="50"/>
        <v>26450000</v>
      </c>
      <c r="Z62" s="7">
        <f t="shared" si="50"/>
        <v>22925000</v>
      </c>
      <c r="AA62" s="7">
        <f t="shared" si="50"/>
        <v>19400000</v>
      </c>
      <c r="AB62" s="7">
        <f t="shared" si="50"/>
        <v>15875000</v>
      </c>
      <c r="AC62" s="7">
        <f t="shared" si="50"/>
        <v>12350000</v>
      </c>
      <c r="AD62" s="7">
        <f t="shared" si="50"/>
        <v>8825000</v>
      </c>
      <c r="AE62" s="7">
        <f t="shared" si="50"/>
        <v>5300000</v>
      </c>
      <c r="AF62" s="7">
        <f t="shared" si="50"/>
        <v>1775000</v>
      </c>
      <c r="AG62" s="7">
        <f t="shared" si="50"/>
        <v>-1750000</v>
      </c>
      <c r="AH62" s="7">
        <f t="shared" si="50"/>
        <v>-5275000</v>
      </c>
      <c r="AI62" s="7">
        <f t="shared" si="50"/>
        <v>-187194423.3888889</v>
      </c>
      <c r="AJ62" s="7">
        <f t="shared" si="50"/>
        <v>-305380006.03703701</v>
      </c>
      <c r="AK62" s="7">
        <f t="shared" si="50"/>
        <v>-401978797.45387661</v>
      </c>
      <c r="AL62" s="7">
        <f t="shared" si="50"/>
        <v>-491090618.06284499</v>
      </c>
      <c r="AM62" s="7">
        <f t="shared" si="50"/>
        <v>-572715467.86394215</v>
      </c>
      <c r="AN62" s="7">
        <f t="shared" si="50"/>
        <v>-646853346.85716808</v>
      </c>
      <c r="AO62" s="7">
        <f t="shared" si="50"/>
        <v>-713504255.04252279</v>
      </c>
      <c r="AP62" s="7">
        <f t="shared" si="50"/>
        <v>-772756339.42778242</v>
      </c>
      <c r="AQ62" s="7">
        <f t="shared" si="50"/>
        <v>-824670121.76441693</v>
      </c>
      <c r="AR62" s="7">
        <f t="shared" ref="AR62:BW62" si="51">AQ62+AR60</f>
        <v>-869260278.6565237</v>
      </c>
      <c r="AS62" s="7">
        <f t="shared" si="51"/>
        <v>-907041457.35499167</v>
      </c>
      <c r="AT62" s="7">
        <f t="shared" si="51"/>
        <v>-937443942.48287487</v>
      </c>
      <c r="AU62" s="7">
        <f t="shared" si="51"/>
        <v>-960565824.76064765</v>
      </c>
      <c r="AV62" s="7">
        <f t="shared" si="51"/>
        <v>-976421665.39401042</v>
      </c>
      <c r="AW62" s="7">
        <f t="shared" si="51"/>
        <v>-985025996.46625185</v>
      </c>
      <c r="AX62" s="7">
        <f t="shared" si="51"/>
        <v>-807998897.60760546</v>
      </c>
      <c r="AY62" s="7">
        <f t="shared" si="51"/>
        <v>-741170197.94969201</v>
      </c>
      <c r="AZ62" s="7">
        <f t="shared" si="51"/>
        <v>-673788451.89356732</v>
      </c>
      <c r="BA62" s="7">
        <f t="shared" si="51"/>
        <v>-602321958.31663942</v>
      </c>
      <c r="BB62" s="7">
        <f t="shared" si="51"/>
        <v>-526772975.19801116</v>
      </c>
      <c r="BC62" s="7">
        <f t="shared" si="51"/>
        <v>-447150846.49882174</v>
      </c>
      <c r="BD62" s="7">
        <f t="shared" si="51"/>
        <v>-363465005.1038636</v>
      </c>
      <c r="BE62" s="7">
        <f t="shared" si="51"/>
        <v>-275724959.53885472</v>
      </c>
      <c r="BF62" s="7">
        <f t="shared" si="51"/>
        <v>-187807753.41613835</v>
      </c>
      <c r="BG62" s="7">
        <f t="shared" si="51"/>
        <v>-103980014.77895835</v>
      </c>
      <c r="BH62" s="7">
        <f t="shared" si="51"/>
        <v>-20973050.67629464</v>
      </c>
      <c r="BI62" s="7">
        <f t="shared" si="51"/>
        <v>57836314.669426948</v>
      </c>
      <c r="BJ62" s="7">
        <f t="shared" si="51"/>
        <v>132931451.40765426</v>
      </c>
      <c r="BK62" s="7">
        <f t="shared" si="51"/>
        <v>204319150.37110782</v>
      </c>
      <c r="BL62" s="7">
        <f t="shared" si="51"/>
        <v>272005303.56053644</v>
      </c>
      <c r="BM62" s="7">
        <f t="shared" si="51"/>
        <v>336041755.5067184</v>
      </c>
      <c r="BN62" s="7">
        <f t="shared" si="51"/>
        <v>396524415.32474232</v>
      </c>
      <c r="BO62" s="7">
        <f t="shared" si="51"/>
        <v>453453283.0146082</v>
      </c>
      <c r="BP62" s="7">
        <f t="shared" si="51"/>
        <v>506828358.57631612</v>
      </c>
      <c r="BQ62" s="7">
        <f t="shared" si="51"/>
        <v>556649642.009866</v>
      </c>
      <c r="BR62" s="7">
        <f t="shared" si="51"/>
        <v>602917133.31525779</v>
      </c>
      <c r="BS62" s="7">
        <f t="shared" si="51"/>
        <v>645630832.4924916</v>
      </c>
      <c r="BT62" s="7">
        <f t="shared" si="51"/>
        <v>684790739.54156733</v>
      </c>
      <c r="BU62" s="7">
        <f t="shared" si="51"/>
        <v>720396854.46248507</v>
      </c>
      <c r="BV62" s="7">
        <f t="shared" si="51"/>
        <v>752449177.25524485</v>
      </c>
      <c r="BW62" s="7">
        <f t="shared" si="51"/>
        <v>780947707.91984653</v>
      </c>
      <c r="BX62" s="7">
        <f t="shared" ref="BX62:CE62" si="52">BW62+BX60</f>
        <v>805892446.45629025</v>
      </c>
      <c r="BY62" s="7">
        <f t="shared" si="52"/>
        <v>827283392.86457586</v>
      </c>
      <c r="BZ62" s="7">
        <f t="shared" si="52"/>
        <v>845120547.14470351</v>
      </c>
      <c r="CA62" s="7">
        <f t="shared" si="52"/>
        <v>859403909.29667306</v>
      </c>
      <c r="CB62" s="7">
        <f t="shared" si="52"/>
        <v>870133479.32048464</v>
      </c>
      <c r="CC62" s="7">
        <f t="shared" si="52"/>
        <v>877309257.21613812</v>
      </c>
      <c r="CD62" s="7">
        <f t="shared" si="52"/>
        <v>880931242.98363364</v>
      </c>
      <c r="CE62" s="7">
        <f t="shared" si="52"/>
        <v>880999436.62297106</v>
      </c>
    </row>
    <row r="63" spans="3:83" s="3" customFormat="1">
      <c r="C63" s="3" t="str">
        <f>IF(условия!$E$9=1,условия!$C$9,IF(условия!$E$10=1,условия!$C$10,IF(условия!$E$11=1,условия!$C$11,"")))</f>
        <v>ОСНО</v>
      </c>
      <c r="E63" s="74" t="s">
        <v>39</v>
      </c>
      <c r="F63" s="74"/>
      <c r="G63" s="33"/>
      <c r="H63" s="74"/>
      <c r="I63" s="33"/>
      <c r="J63" s="75">
        <f>IF(MIN(K62:CF62)&gt;0,0,MIN(K62:CF62))</f>
        <v>-985025996.46625185</v>
      </c>
      <c r="K63" s="69"/>
    </row>
    <row r="64" spans="3:83">
      <c r="C64" s="4" t="str">
        <f>IF(условия!$E$9=1,условия!$C$9,IF(условия!$E$10=1,условия!$C$10,IF(условия!$E$11=1,условия!$C$11,"")))</f>
        <v>ОСНО</v>
      </c>
    </row>
    <row r="65" spans="3:83" s="3" customFormat="1">
      <c r="C65" s="3" t="str">
        <f>IF(условия!$E$9=1,условия!$C$9,IF(условия!$E$10=1,условия!$C$10,IF(условия!$E$11=1,условия!$C$11,"")))</f>
        <v>ОСНО</v>
      </c>
      <c r="E65" s="3" t="s">
        <v>41</v>
      </c>
      <c r="G65" s="33"/>
      <c r="H65" s="10">
        <f>условия!E70</f>
        <v>0.12</v>
      </c>
      <c r="I65" s="9"/>
      <c r="J65" s="43"/>
      <c r="K65" s="69"/>
    </row>
    <row r="66" spans="3:83">
      <c r="C66" s="4" t="str">
        <f>IF(условия!$E$9=1,условия!$C$9,IF(условия!$E$10=1,условия!$C$10,IF(условия!$E$11=1,условия!$C$11,"")))</f>
        <v>ОСНО</v>
      </c>
      <c r="F66" s="33"/>
    </row>
    <row r="67" spans="3:83" ht="12">
      <c r="C67" s="4" t="str">
        <f>IF(условия!$E$9=1,условия!$C$9,IF(условия!$E$10=1,условия!$C$10,IF(условия!$E$11=1,условия!$C$11,"")))</f>
        <v>ОСНО</v>
      </c>
      <c r="E67" s="15" t="s">
        <v>49</v>
      </c>
      <c r="F67" s="48"/>
      <c r="G67" s="48"/>
      <c r="H67" s="48"/>
      <c r="I67" s="15"/>
      <c r="J67" s="52">
        <f>L67</f>
        <v>0</v>
      </c>
      <c r="L67" s="11">
        <v>0</v>
      </c>
      <c r="M67" s="11">
        <f>L75</f>
        <v>0</v>
      </c>
      <c r="N67" s="11">
        <f>M75</f>
        <v>0</v>
      </c>
      <c r="O67" s="11">
        <f>N75</f>
        <v>0</v>
      </c>
      <c r="P67" s="11">
        <f t="shared" ref="P67:Q67" si="53">O75</f>
        <v>0</v>
      </c>
      <c r="Q67" s="11">
        <f t="shared" si="53"/>
        <v>0</v>
      </c>
      <c r="R67" s="11">
        <f t="shared" ref="R67" si="54">Q75</f>
        <v>0</v>
      </c>
      <c r="S67" s="11">
        <f t="shared" ref="S67" si="55">R75</f>
        <v>0</v>
      </c>
      <c r="T67" s="11">
        <f t="shared" ref="T67" si="56">S75</f>
        <v>0</v>
      </c>
      <c r="U67" s="11">
        <f t="shared" ref="U67" si="57">T75</f>
        <v>0</v>
      </c>
      <c r="V67" s="11">
        <f t="shared" ref="V67" si="58">U75</f>
        <v>0</v>
      </c>
      <c r="W67" s="11">
        <f t="shared" ref="W67" si="59">V75</f>
        <v>0</v>
      </c>
      <c r="X67" s="11">
        <f t="shared" ref="X67" si="60">W75</f>
        <v>0</v>
      </c>
      <c r="Y67" s="11">
        <f t="shared" ref="Y67" si="61">X75</f>
        <v>0</v>
      </c>
      <c r="Z67" s="11">
        <f t="shared" ref="Z67" si="62">Y75</f>
        <v>0</v>
      </c>
      <c r="AA67" s="11">
        <f t="shared" ref="AA67" si="63">Z75</f>
        <v>0</v>
      </c>
      <c r="AB67" s="11">
        <f t="shared" ref="AB67" si="64">AA75</f>
        <v>0</v>
      </c>
      <c r="AC67" s="11">
        <f t="shared" ref="AC67" si="65">AB75</f>
        <v>0</v>
      </c>
      <c r="AD67" s="11">
        <f t="shared" ref="AD67" si="66">AC75</f>
        <v>0</v>
      </c>
      <c r="AE67" s="11">
        <f t="shared" ref="AE67" si="67">AD75</f>
        <v>0</v>
      </c>
      <c r="AF67" s="11">
        <f t="shared" ref="AF67" si="68">AE75</f>
        <v>0</v>
      </c>
      <c r="AG67" s="11">
        <f t="shared" ref="AG67" si="69">AF75</f>
        <v>0</v>
      </c>
      <c r="AH67" s="11">
        <f t="shared" ref="AH67" si="70">AG75</f>
        <v>1750000</v>
      </c>
      <c r="AI67" s="11">
        <f t="shared" ref="AI67" si="71">AH75</f>
        <v>5275000</v>
      </c>
      <c r="AJ67" s="11">
        <f t="shared" ref="AJ67" si="72">AI75</f>
        <v>187194423.3888889</v>
      </c>
      <c r="AK67" s="11">
        <f t="shared" ref="AK67" si="73">AJ75</f>
        <v>305380006.03703701</v>
      </c>
      <c r="AL67" s="11">
        <f t="shared" ref="AL67" si="74">AK75</f>
        <v>401978797.45387661</v>
      </c>
      <c r="AM67" s="11">
        <f t="shared" ref="AM67" si="75">AL75</f>
        <v>491090618.06284499</v>
      </c>
      <c r="AN67" s="11">
        <f t="shared" ref="AN67" si="76">AM75</f>
        <v>572715467.86394215</v>
      </c>
      <c r="AO67" s="11">
        <f t="shared" ref="AO67" si="77">AN75</f>
        <v>646853346.85716808</v>
      </c>
      <c r="AP67" s="11">
        <f t="shared" ref="AP67" si="78">AO75</f>
        <v>713504255.04252279</v>
      </c>
      <c r="AQ67" s="11">
        <f t="shared" ref="AQ67" si="79">AP75</f>
        <v>772756339.42778242</v>
      </c>
      <c r="AR67" s="11">
        <f t="shared" ref="AR67" si="80">AQ75</f>
        <v>824670121.76441693</v>
      </c>
      <c r="AS67" s="11">
        <f t="shared" ref="AS67" si="81">AR75</f>
        <v>869260278.6565237</v>
      </c>
      <c r="AT67" s="11">
        <f t="shared" ref="AT67" si="82">AS75</f>
        <v>907041457.35499167</v>
      </c>
      <c r="AU67" s="11">
        <f t="shared" ref="AU67" si="83">AT75</f>
        <v>937443942.48287487</v>
      </c>
      <c r="AV67" s="11">
        <f t="shared" ref="AV67" si="84">AU75</f>
        <v>960565824.76064765</v>
      </c>
      <c r="AW67" s="11">
        <f t="shared" ref="AW67" si="85">AV75</f>
        <v>976421665.39401042</v>
      </c>
      <c r="AX67" s="11">
        <f t="shared" ref="AX67" si="86">AW75</f>
        <v>985025996.46625185</v>
      </c>
      <c r="AY67" s="11">
        <f t="shared" ref="AY67" si="87">AX75</f>
        <v>923438432.98240566</v>
      </c>
      <c r="AZ67" s="11">
        <f t="shared" ref="AZ67" si="88">AY75</f>
        <v>865844117.65431631</v>
      </c>
      <c r="BA67" s="11">
        <f t="shared" ref="BA67" si="89">AZ75</f>
        <v>807120812.77473485</v>
      </c>
      <c r="BB67" s="11">
        <f t="shared" ref="BB67" si="90">BA75</f>
        <v>743725527.32555425</v>
      </c>
      <c r="BC67" s="11">
        <f t="shared" ref="BC67" si="91">BB75</f>
        <v>675613799.48018146</v>
      </c>
      <c r="BD67" s="11">
        <f t="shared" ref="BD67" si="92">BC75</f>
        <v>602747808.77579391</v>
      </c>
      <c r="BE67" s="11">
        <f t="shared" ref="BE67" si="93">BD75</f>
        <v>525089445.46859372</v>
      </c>
      <c r="BF67" s="11">
        <f t="shared" ref="BF67" si="94">BE75</f>
        <v>442600294.35827076</v>
      </c>
      <c r="BG67" s="11">
        <f t="shared" ref="BG67" si="95">BF75</f>
        <v>359109091.17913711</v>
      </c>
      <c r="BH67" s="11">
        <f t="shared" ref="BH67" si="96">BG75</f>
        <v>278872443.45374846</v>
      </c>
      <c r="BI67" s="11">
        <f t="shared" ref="BI67" si="97">BH75</f>
        <v>198654203.78562224</v>
      </c>
      <c r="BJ67" s="11">
        <f t="shared" ref="BJ67" si="98">BI75</f>
        <v>121831380.47775687</v>
      </c>
      <c r="BK67" s="11">
        <f t="shared" ref="BK67" si="99">BJ75</f>
        <v>47954557.544307128</v>
      </c>
      <c r="BL67" s="11">
        <f t="shared" ref="BL67" si="100">BK75</f>
        <v>0</v>
      </c>
      <c r="BM67" s="11">
        <f t="shared" ref="BM67" si="101">BL75</f>
        <v>0</v>
      </c>
      <c r="BN67" s="11">
        <f t="shared" ref="BN67" si="102">BM75</f>
        <v>0</v>
      </c>
      <c r="BO67" s="11">
        <f t="shared" ref="BO67" si="103">BN75</f>
        <v>0</v>
      </c>
      <c r="BP67" s="11">
        <f t="shared" ref="BP67" si="104">BO75</f>
        <v>0</v>
      </c>
      <c r="BQ67" s="11">
        <f t="shared" ref="BQ67" si="105">BP75</f>
        <v>0</v>
      </c>
      <c r="BR67" s="11">
        <f t="shared" ref="BR67" si="106">BQ75</f>
        <v>0</v>
      </c>
      <c r="BS67" s="11">
        <f t="shared" ref="BS67" si="107">BR75</f>
        <v>0</v>
      </c>
      <c r="BT67" s="11">
        <f t="shared" ref="BT67" si="108">BS75</f>
        <v>0</v>
      </c>
      <c r="BU67" s="11">
        <f t="shared" ref="BU67" si="109">BT75</f>
        <v>0</v>
      </c>
      <c r="BV67" s="11">
        <f t="shared" ref="BV67" si="110">BU75</f>
        <v>0</v>
      </c>
      <c r="BW67" s="11">
        <f t="shared" ref="BW67" si="111">BV75</f>
        <v>0</v>
      </c>
      <c r="BX67" s="11">
        <f t="shared" ref="BX67" si="112">BW75</f>
        <v>0</v>
      </c>
      <c r="BY67" s="11">
        <f t="shared" ref="BY67" si="113">BX75</f>
        <v>0</v>
      </c>
      <c r="BZ67" s="11">
        <f t="shared" ref="BZ67" si="114">BY75</f>
        <v>0</v>
      </c>
      <c r="CA67" s="11">
        <f t="shared" ref="CA67" si="115">BZ75</f>
        <v>0</v>
      </c>
      <c r="CB67" s="11">
        <f t="shared" ref="CB67" si="116">CA75</f>
        <v>0</v>
      </c>
      <c r="CC67" s="11">
        <f t="shared" ref="CC67" si="117">CB75</f>
        <v>0</v>
      </c>
      <c r="CD67" s="11">
        <f t="shared" ref="CD67" si="118">CC75</f>
        <v>0</v>
      </c>
      <c r="CE67" s="11">
        <f t="shared" ref="CE67" si="119">CD75</f>
        <v>0</v>
      </c>
    </row>
    <row r="68" spans="3:83" s="65" customFormat="1" ht="12">
      <c r="C68" s="65" t="str">
        <f>IF(условия!$E$9=1,условия!$C$9,IF(условия!$E$10=1,условия!$C$10,IF(условия!$E$11=1,условия!$C$11,"")))</f>
        <v>ОСНО</v>
      </c>
      <c r="E68" s="66"/>
      <c r="F68" s="67"/>
      <c r="G68" s="67"/>
      <c r="H68" s="67"/>
      <c r="I68" s="66"/>
      <c r="J68" s="68"/>
      <c r="K68" s="69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</row>
    <row r="69" spans="3:83" ht="12">
      <c r="C69" s="3" t="str">
        <f>IF(условия!$E$9=1,условия!$C$9,IF(условия!$E$10=1,условия!$C$10,IF(условия!$E$11=1,условия!$C$11,"")))</f>
        <v>ОСНО</v>
      </c>
      <c r="E69" s="16" t="s">
        <v>50</v>
      </c>
      <c r="F69" s="16"/>
      <c r="G69" s="16"/>
      <c r="H69" s="16"/>
      <c r="I69" s="16"/>
      <c r="J69" s="53">
        <f>SUM($K69:$CF69)</f>
        <v>985025996.46625185</v>
      </c>
      <c r="L69" s="12">
        <f>IF(L62&lt;0,-L62,0)</f>
        <v>0</v>
      </c>
      <c r="M69" s="12">
        <f>IF(условия!$E$74=1,(IF(L81+M60&lt;0,-(L81+M60),0)+L75*$H$65/12)/(1-$H$65/12),IF(условия!$E$75=1,IF(L81+M60&lt;0,-(L81+M60),0),0))</f>
        <v>0</v>
      </c>
      <c r="N69" s="12">
        <f>IF(условия!$E$74=1,(IF(M81+N60&lt;0,-(M81+N60),0)+M75*$H$65/12)/(1-$H$65/12),IF(условия!$E$75=1,IF(M81+N60&lt;0,-(M81+N60),0),0))</f>
        <v>0</v>
      </c>
      <c r="O69" s="12">
        <f>IF(условия!$E$74=1,(IF(N81+O60&lt;0,-(N81+O60),0)+N75*$H$65/12)/(1-$H$65/12),IF(условия!$E$75=1,IF(N81+O60&lt;0,-(N81+O60),0),0))</f>
        <v>0</v>
      </c>
      <c r="P69" s="12">
        <f>IF(условия!$E$74=1,(IF(O81+P60&lt;0,-(O81+P60),0)+O75*$H$65/12)/(1-$H$65/12),IF(условия!$E$75=1,IF(O81+P60&lt;0,-(O81+P60),0),0))</f>
        <v>0</v>
      </c>
      <c r="Q69" s="12">
        <f>IF(условия!$E$74=1,(IF(P81+Q60&lt;0,-(P81+Q60),0)+P75*$H$65/12)/(1-$H$65/12),IF(условия!$E$75=1,IF(P81+Q60&lt;0,-(P81+Q60),0),0))</f>
        <v>0</v>
      </c>
      <c r="R69" s="12">
        <f>IF(условия!$E$74=1,(IF(Q81+R60&lt;0,-(Q81+R60),0)+Q75*$H$65/12)/(1-$H$65/12),IF(условия!$E$75=1,IF(Q81+R60&lt;0,-(Q81+R60),0),0))</f>
        <v>0</v>
      </c>
      <c r="S69" s="12">
        <f>IF(условия!$E$74=1,(IF(R81+S60&lt;0,-(R81+S60),0)+R75*$H$65/12)/(1-$H$65/12),IF(условия!$E$75=1,IF(R81+S60&lt;0,-(R81+S60),0),0))</f>
        <v>0</v>
      </c>
      <c r="T69" s="12">
        <f>IF(условия!$E$74=1,(IF(S81+T60&lt;0,-(S81+T60),0)+S75*$H$65/12)/(1-$H$65/12),IF(условия!$E$75=1,IF(S81+T60&lt;0,-(S81+T60),0),0))</f>
        <v>0</v>
      </c>
      <c r="U69" s="12">
        <f>IF(условия!$E$74=1,(IF(T81+U60&lt;0,-(T81+U60),0)+T75*$H$65/12)/(1-$H$65/12),IF(условия!$E$75=1,IF(T81+U60&lt;0,-(T81+U60),0),0))</f>
        <v>0</v>
      </c>
      <c r="V69" s="12">
        <f>IF(условия!$E$74=1,(IF(U81+V60&lt;0,-(U81+V60),0)+U75*$H$65/12)/(1-$H$65/12),IF(условия!$E$75=1,IF(U81+V60&lt;0,-(U81+V60),0),0))</f>
        <v>0</v>
      </c>
      <c r="W69" s="12">
        <f>IF(условия!$E$74=1,(IF(V81+W60&lt;0,-(V81+W60),0)+V75*$H$65/12)/(1-$H$65/12),IF(условия!$E$75=1,IF(V81+W60&lt;0,-(V81+W60),0),0))</f>
        <v>0</v>
      </c>
      <c r="X69" s="12">
        <f>IF(условия!$E$74=1,(IF(W81+X60&lt;0,-(W81+X60),0)+W75*$H$65/12)/(1-$H$65/12),IF(условия!$E$75=1,IF(W81+X60&lt;0,-(W81+X60),0),0))</f>
        <v>0</v>
      </c>
      <c r="Y69" s="12">
        <f>IF(условия!$E$74=1,(IF(X81+Y60&lt;0,-(X81+Y60),0)+X75*$H$65/12)/(1-$H$65/12),IF(условия!$E$75=1,IF(X81+Y60&lt;0,-(X81+Y60),0),0))</f>
        <v>0</v>
      </c>
      <c r="Z69" s="12">
        <f>IF(условия!$E$74=1,(IF(Y81+Z60&lt;0,-(Y81+Z60),0)+Y75*$H$65/12)/(1-$H$65/12),IF(условия!$E$75=1,IF(Y81+Z60&lt;0,-(Y81+Z60),0),0))</f>
        <v>0</v>
      </c>
      <c r="AA69" s="12">
        <f>IF(условия!$E$74=1,(IF(Z81+AA60&lt;0,-(Z81+AA60),0)+Z75*$H$65/12)/(1-$H$65/12),IF(условия!$E$75=1,IF(Z81+AA60&lt;0,-(Z81+AA60),0),0))</f>
        <v>0</v>
      </c>
      <c r="AB69" s="12">
        <f>IF(условия!$E$74=1,(IF(AA81+AB60&lt;0,-(AA81+AB60),0)+AA75*$H$65/12)/(1-$H$65/12),IF(условия!$E$75=1,IF(AA81+AB60&lt;0,-(AA81+AB60),0),0))</f>
        <v>0</v>
      </c>
      <c r="AC69" s="12">
        <f>IF(условия!$E$74=1,(IF(AB81+AC60&lt;0,-(AB81+AC60),0)+AB75*$H$65/12)/(1-$H$65/12),IF(условия!$E$75=1,IF(AB81+AC60&lt;0,-(AB81+AC60),0),0))</f>
        <v>0</v>
      </c>
      <c r="AD69" s="12">
        <f>IF(условия!$E$74=1,(IF(AC81+AD60&lt;0,-(AC81+AD60),0)+AC75*$H$65/12)/(1-$H$65/12),IF(условия!$E$75=1,IF(AC81+AD60&lt;0,-(AC81+AD60),0),0))</f>
        <v>0</v>
      </c>
      <c r="AE69" s="12">
        <f>IF(условия!$E$74=1,(IF(AD81+AE60&lt;0,-(AD81+AE60),0)+AD75*$H$65/12)/(1-$H$65/12),IF(условия!$E$75=1,IF(AD81+AE60&lt;0,-(AD81+AE60),0),0))</f>
        <v>0</v>
      </c>
      <c r="AF69" s="12">
        <f>IF(условия!$E$74=1,(IF(AE81+AF60&lt;0,-(AE81+AF60),0)+AE75*$H$65/12)/(1-$H$65/12),IF(условия!$E$75=1,IF(AE81+AF60&lt;0,-(AE81+AF60),0),0))</f>
        <v>0</v>
      </c>
      <c r="AG69" s="12">
        <f>IF(условия!$E$74=1,(IF(AF81+AG60&lt;0,-(AF81+AG60),0)+AF75*$H$65/12)/(1-$H$65/12),IF(условия!$E$75=1,IF(AF81+AG60&lt;0,-(AF81+AG60),0),0))</f>
        <v>1750000</v>
      </c>
      <c r="AH69" s="12">
        <f>IF(условия!$E$74=1,(IF(AG81+AH60&lt;0,-(AG81+AH60),0)+AG75*$H$65/12)/(1-$H$65/12),IF(условия!$E$75=1,IF(AG81+AH60&lt;0,-(AG81+AH60),0),0))</f>
        <v>3525000</v>
      </c>
      <c r="AI69" s="12">
        <f>IF(условия!$E$74=1,(IF(AH81+AI60&lt;0,-(AH81+AI60),0)+AH75*$H$65/12)/(1-$H$65/12),IF(условия!$E$75=1,IF(AH81+AI60&lt;0,-(AH81+AI60),0),0))</f>
        <v>181919423.3888889</v>
      </c>
      <c r="AJ69" s="12">
        <f>IF(условия!$E$74=1,(IF(AI81+AJ60&lt;0,-(AI81+AJ60),0)+AI75*$H$65/12)/(1-$H$65/12),IF(условия!$E$75=1,IF(AI81+AJ60&lt;0,-(AI81+AJ60),0),0))</f>
        <v>118185582.64814813</v>
      </c>
      <c r="AK69" s="12">
        <f>IF(условия!$E$74=1,(IF(AJ81+AK60&lt;0,-(AJ81+AK60),0)+AJ75*$H$65/12)/(1-$H$65/12),IF(условия!$E$75=1,IF(AJ81+AK60&lt;0,-(AJ81+AK60),0),0))</f>
        <v>96598791.416839629</v>
      </c>
      <c r="AL69" s="12">
        <f>IF(условия!$E$74=1,(IF(AK81+AL60&lt;0,-(AK81+AL60),0)+AK75*$H$65/12)/(1-$H$65/12),IF(условия!$E$75=1,IF(AK81+AL60&lt;0,-(AK81+AL60),0),0))</f>
        <v>89111820.608968407</v>
      </c>
      <c r="AM69" s="12">
        <f>IF(условия!$E$74=1,(IF(AL81+AM60&lt;0,-(AL81+AM60),0)+AL75*$H$65/12)/(1-$H$65/12),IF(условия!$E$75=1,IF(AL81+AM60&lt;0,-(AL81+AM60),0),0))</f>
        <v>81624849.80109714</v>
      </c>
      <c r="AN69" s="12">
        <f>IF(условия!$E$74=1,(IF(AM81+AN60&lt;0,-(AM81+AN60),0)+AM75*$H$65/12)/(1-$H$65/12),IF(условия!$E$75=1,IF(AM81+AN60&lt;0,-(AM81+AN60),0),0))</f>
        <v>74137878.993225887</v>
      </c>
      <c r="AO69" s="12">
        <f>IF(условия!$E$74=1,(IF(AN81+AO60&lt;0,-(AN81+AO60),0)+AN75*$H$65/12)/(1-$H$65/12),IF(условия!$E$75=1,IF(AN81+AO60&lt;0,-(AN81+AO60),0),0))</f>
        <v>66650908.185354672</v>
      </c>
      <c r="AP69" s="12">
        <f>IF(условия!$E$74=1,(IF(AO81+AP60&lt;0,-(AO81+AP60),0)+AO75*$H$65/12)/(1-$H$65/12),IF(условия!$E$75=1,IF(AO81+AP60&lt;0,-(AO81+AP60),0),0))</f>
        <v>59252084.385259598</v>
      </c>
      <c r="AQ69" s="12">
        <f>IF(условия!$E$74=1,(IF(AP81+AQ60&lt;0,-(AP81+AQ60),0)+AP75*$H$65/12)/(1-$H$65/12),IF(условия!$E$75=1,IF(AP81+AQ60&lt;0,-(AP81+AQ60),0),0))</f>
        <v>51913782.336634539</v>
      </c>
      <c r="AR69" s="12">
        <f>IF(условия!$E$74=1,(IF(AQ81+AR60&lt;0,-(AQ81+AR60),0)+AQ75*$H$65/12)/(1-$H$65/12),IF(условия!$E$75=1,IF(AQ81+AR60&lt;0,-(AQ81+AR60),0),0))</f>
        <v>44590156.892106742</v>
      </c>
      <c r="AS69" s="12">
        <f>IF(условия!$E$74=1,(IF(AR81+AS60&lt;0,-(AR81+AS60),0)+AR75*$H$65/12)/(1-$H$65/12),IF(условия!$E$75=1,IF(AR81+AS60&lt;0,-(AR81+AS60),0),0))</f>
        <v>37781178.69846797</v>
      </c>
      <c r="AT69" s="12">
        <f>IF(условия!$E$74=1,(IF(AS81+AT60&lt;0,-(AS81+AT60),0)+AS75*$H$65/12)/(1-$H$65/12),IF(условия!$E$75=1,IF(AS81+AT60&lt;0,-(AS81+AT60),0),0))</f>
        <v>30402485.127883144</v>
      </c>
      <c r="AU69" s="12">
        <f>IF(условия!$E$74=1,(IF(AT81+AU60&lt;0,-(AT81+AU60),0)+AT75*$H$65/12)/(1-$H$65/12),IF(условия!$E$75=1,IF(AT81+AU60&lt;0,-(AT81+AU60),0),0))</f>
        <v>23121882.277772836</v>
      </c>
      <c r="AV69" s="12">
        <f>IF(условия!$E$74=1,(IF(AU81+AV60&lt;0,-(AU81+AV60),0)+AU75*$H$65/12)/(1-$H$65/12),IF(условия!$E$75=1,IF(AU81+AV60&lt;0,-(AU81+AV60),0),0))</f>
        <v>15855840.633362718</v>
      </c>
      <c r="AW69" s="12">
        <f>IF(условия!$E$74=1,(IF(AV81+AW60&lt;0,-(AV81+AW60),0)+AV75*$H$65/12)/(1-$H$65/12),IF(условия!$E$75=1,IF(AV81+AW60&lt;0,-(AV81+AW60),0),0))</f>
        <v>8604331.072241433</v>
      </c>
      <c r="AX69" s="12">
        <f>IF(условия!$E$74=1,(IF(AW81+AX60&lt;0,-(AW81+AX60),0)+AW75*$H$65/12)/(1-$H$65/12),IF(условия!$E$75=1,IF(AW81+AX60&lt;0,-(AW81+AX60),0),0))</f>
        <v>0</v>
      </c>
      <c r="AY69" s="12">
        <f>IF(условия!$E$74=1,(IF(AX81+AY60&lt;0,-(AX81+AY60),0)+AX75*$H$65/12)/(1-$H$65/12),IF(условия!$E$75=1,IF(AX81+AY60&lt;0,-(AX81+AY60),0),0))</f>
        <v>0</v>
      </c>
      <c r="AZ69" s="12">
        <f>IF(условия!$E$74=1,(IF(AY81+AZ60&lt;0,-(AY81+AZ60),0)+AY75*$H$65/12)/(1-$H$65/12),IF(условия!$E$75=1,IF(AY81+AZ60&lt;0,-(AY81+AZ60),0),0))</f>
        <v>0</v>
      </c>
      <c r="BA69" s="12">
        <f>IF(условия!$E$74=1,(IF(AZ81+BA60&lt;0,-(AZ81+BA60),0)+AZ75*$H$65/12)/(1-$H$65/12),IF(условия!$E$75=1,IF(AZ81+BA60&lt;0,-(AZ81+BA60),0),0))</f>
        <v>0</v>
      </c>
      <c r="BB69" s="12">
        <f>IF(условия!$E$74=1,(IF(BA81+BB60&lt;0,-(BA81+BB60),0)+BA75*$H$65/12)/(1-$H$65/12),IF(условия!$E$75=1,IF(BA81+BB60&lt;0,-(BA81+BB60),0),0))</f>
        <v>0</v>
      </c>
      <c r="BC69" s="12">
        <f>IF(условия!$E$74=1,(IF(BB81+BC60&lt;0,-(BB81+BC60),0)+BB75*$H$65/12)/(1-$H$65/12),IF(условия!$E$75=1,IF(BB81+BC60&lt;0,-(BB81+BC60),0),0))</f>
        <v>0</v>
      </c>
      <c r="BD69" s="12">
        <f>IF(условия!$E$74=1,(IF(BC81+BD60&lt;0,-(BC81+BD60),0)+BC75*$H$65/12)/(1-$H$65/12),IF(условия!$E$75=1,IF(BC81+BD60&lt;0,-(BC81+BD60),0),0))</f>
        <v>0</v>
      </c>
      <c r="BE69" s="12">
        <f>IF(условия!$E$74=1,(IF(BD81+BE60&lt;0,-(BD81+BE60),0)+BD75*$H$65/12)/(1-$H$65/12),IF(условия!$E$75=1,IF(BD81+BE60&lt;0,-(BD81+BE60),0),0))</f>
        <v>0</v>
      </c>
      <c r="BF69" s="12">
        <f>IF(условия!$E$74=1,(IF(BE81+BF60&lt;0,-(BE81+BF60),0)+BE75*$H$65/12)/(1-$H$65/12),IF(условия!$E$75=1,IF(BE81+BF60&lt;0,-(BE81+BF60),0),0))</f>
        <v>0</v>
      </c>
      <c r="BG69" s="12">
        <f>IF(условия!$E$74=1,(IF(BF81+BG60&lt;0,-(BF81+BG60),0)+BF75*$H$65/12)/(1-$H$65/12),IF(условия!$E$75=1,IF(BF81+BG60&lt;0,-(BF81+BG60),0),0))</f>
        <v>0</v>
      </c>
      <c r="BH69" s="12">
        <f>IF(условия!$E$74=1,(IF(BG81+BH60&lt;0,-(BG81+BH60),0)+BG75*$H$65/12)/(1-$H$65/12),IF(условия!$E$75=1,IF(BG81+BH60&lt;0,-(BG81+BH60),0),0))</f>
        <v>0</v>
      </c>
      <c r="BI69" s="12">
        <f>IF(условия!$E$74=1,(IF(BH81+BI60&lt;0,-(BH81+BI60),0)+BH75*$H$65/12)/(1-$H$65/12),IF(условия!$E$75=1,IF(BH81+BI60&lt;0,-(BH81+BI60),0),0))</f>
        <v>0</v>
      </c>
      <c r="BJ69" s="12">
        <f>IF(условия!$E$74=1,(IF(BI81+BJ60&lt;0,-(BI81+BJ60),0)+BI75*$H$65/12)/(1-$H$65/12),IF(условия!$E$75=1,IF(BI81+BJ60&lt;0,-(BI81+BJ60),0),0))</f>
        <v>0</v>
      </c>
      <c r="BK69" s="12">
        <f>IF(условия!$E$74=1,(IF(BJ81+BK60&lt;0,-(BJ81+BK60),0)+BJ75*$H$65/12)/(1-$H$65/12),IF(условия!$E$75=1,IF(BJ81+BK60&lt;0,-(BJ81+BK60),0),0))</f>
        <v>0</v>
      </c>
      <c r="BL69" s="12">
        <f>IF(условия!$E$74=1,(IF(BK81+BL60&lt;0,-(BK81+BL60),0)+BK75*$H$65/12)/(1-$H$65/12),IF(условия!$E$75=1,IF(BK81+BL60&lt;0,-(BK81+BL60),0),0))</f>
        <v>0</v>
      </c>
      <c r="BM69" s="12">
        <f>IF(условия!$E$74=1,(IF(BL81+BM60&lt;0,-(BL81+BM60),0)+BL75*$H$65/12)/(1-$H$65/12),IF(условия!$E$75=1,IF(BL81+BM60&lt;0,-(BL81+BM60),0),0))</f>
        <v>0</v>
      </c>
      <c r="BN69" s="12">
        <f>IF(условия!$E$74=1,(IF(BM81+BN60&lt;0,-(BM81+BN60),0)+BM75*$H$65/12)/(1-$H$65/12),IF(условия!$E$75=1,IF(BM81+BN60&lt;0,-(BM81+BN60),0),0))</f>
        <v>0</v>
      </c>
      <c r="BO69" s="12">
        <f>IF(условия!$E$74=1,(IF(BN81+BO60&lt;0,-(BN81+BO60),0)+BN75*$H$65/12)/(1-$H$65/12),IF(условия!$E$75=1,IF(BN81+BO60&lt;0,-(BN81+BO60),0),0))</f>
        <v>0</v>
      </c>
      <c r="BP69" s="12">
        <f>IF(условия!$E$74=1,(IF(BO81+BP60&lt;0,-(BO81+BP60),0)+BO75*$H$65/12)/(1-$H$65/12),IF(условия!$E$75=1,IF(BO81+BP60&lt;0,-(BO81+BP60),0),0))</f>
        <v>0</v>
      </c>
      <c r="BQ69" s="12">
        <f>IF(условия!$E$74=1,(IF(BP81+BQ60&lt;0,-(BP81+BQ60),0)+BP75*$H$65/12)/(1-$H$65/12),IF(условия!$E$75=1,IF(BP81+BQ60&lt;0,-(BP81+BQ60),0),0))</f>
        <v>0</v>
      </c>
      <c r="BR69" s="12">
        <f>IF(условия!$E$74=1,(IF(BQ81+BR60&lt;0,-(BQ81+BR60),0)+BQ75*$H$65/12)/(1-$H$65/12),IF(условия!$E$75=1,IF(BQ81+BR60&lt;0,-(BQ81+BR60),0),0))</f>
        <v>0</v>
      </c>
      <c r="BS69" s="12">
        <f>IF(условия!$E$74=1,(IF(BR81+BS60&lt;0,-(BR81+BS60),0)+BR75*$H$65/12)/(1-$H$65/12),IF(условия!$E$75=1,IF(BR81+BS60&lt;0,-(BR81+BS60),0),0))</f>
        <v>0</v>
      </c>
      <c r="BT69" s="12">
        <f>IF(условия!$E$74=1,(IF(BS81+BT60&lt;0,-(BS81+BT60),0)+BS75*$H$65/12)/(1-$H$65/12),IF(условия!$E$75=1,IF(BS81+BT60&lt;0,-(BS81+BT60),0),0))</f>
        <v>0</v>
      </c>
      <c r="BU69" s="12">
        <f>IF(условия!$E$74=1,(IF(BT81+BU60&lt;0,-(BT81+BU60),0)+BT75*$H$65/12)/(1-$H$65/12),IF(условия!$E$75=1,IF(BT81+BU60&lt;0,-(BT81+BU60),0),0))</f>
        <v>0</v>
      </c>
      <c r="BV69" s="12">
        <f>IF(условия!$E$74=1,(IF(BU81+BV60&lt;0,-(BU81+BV60),0)+BU75*$H$65/12)/(1-$H$65/12),IF(условия!$E$75=1,IF(BU81+BV60&lt;0,-(BU81+BV60),0),0))</f>
        <v>0</v>
      </c>
      <c r="BW69" s="12">
        <f>IF(условия!$E$74=1,(IF(BV81+BW60&lt;0,-(BV81+BW60),0)+BV75*$H$65/12)/(1-$H$65/12),IF(условия!$E$75=1,IF(BV81+BW60&lt;0,-(BV81+BW60),0),0))</f>
        <v>0</v>
      </c>
      <c r="BX69" s="12">
        <f>IF(условия!$E$74=1,(IF(BW81+BX60&lt;0,-(BW81+BX60),0)+BW75*$H$65/12)/(1-$H$65/12),IF(условия!$E$75=1,IF(BW81+BX60&lt;0,-(BW81+BX60),0),0))</f>
        <v>0</v>
      </c>
      <c r="BY69" s="12">
        <f>IF(условия!$E$74=1,(IF(BX81+BY60&lt;0,-(BX81+BY60),0)+BX75*$H$65/12)/(1-$H$65/12),IF(условия!$E$75=1,IF(BX81+BY60&lt;0,-(BX81+BY60),0),0))</f>
        <v>0</v>
      </c>
      <c r="BZ69" s="12">
        <f>IF(условия!$E$74=1,(IF(BY81+BZ60&lt;0,-(BY81+BZ60),0)+BY75*$H$65/12)/(1-$H$65/12),IF(условия!$E$75=1,IF(BY81+BZ60&lt;0,-(BY81+BZ60),0),0))</f>
        <v>0</v>
      </c>
      <c r="CA69" s="12">
        <f>IF(условия!$E$74=1,(IF(BZ81+CA60&lt;0,-(BZ81+CA60),0)+BZ75*$H$65/12)/(1-$H$65/12),IF(условия!$E$75=1,IF(BZ81+CA60&lt;0,-(BZ81+CA60),0),0))</f>
        <v>0</v>
      </c>
      <c r="CB69" s="12">
        <f>IF(условия!$E$74=1,(IF(CA81+CB60&lt;0,-(CA81+CB60),0)+CA75*$H$65/12)/(1-$H$65/12),IF(условия!$E$75=1,IF(CA81+CB60&lt;0,-(CA81+CB60),0),0))</f>
        <v>0</v>
      </c>
      <c r="CC69" s="12">
        <f>IF(условия!$E$74=1,(IF(CB81+CC60&lt;0,-(CB81+CC60),0)+CB75*$H$65/12)/(1-$H$65/12),IF(условия!$E$75=1,IF(CB81+CC60&lt;0,-(CB81+CC60),0),0))</f>
        <v>0</v>
      </c>
      <c r="CD69" s="12">
        <f>IF(условия!$E$74=1,(IF(CC81+CD60&lt;0,-(CC81+CD60),0)+CC75*$H$65/12)/(1-$H$65/12),IF(условия!$E$75=1,IF(CC81+CD60&lt;0,-(CC81+CD60),0),0))</f>
        <v>0</v>
      </c>
      <c r="CE69" s="12">
        <f>IF(условия!$E$74=1,(IF(CD81+CE60&lt;0,-(CD81+CE60),0)+CD75*$H$65/12)/(1-$H$65/12),IF(условия!$E$75=1,IF(CD81+CE60&lt;0,-(CD81+CE60),0),0))</f>
        <v>0</v>
      </c>
    </row>
    <row r="70" spans="3:83" s="65" customFormat="1" ht="12">
      <c r="C70" s="65" t="str">
        <f>IF(условия!$E$9=1,условия!$C$9,IF(условия!$E$10=1,условия!$C$10,IF(условия!$E$11=1,условия!$C$11,"")))</f>
        <v>ОСНО</v>
      </c>
      <c r="E70" s="66"/>
      <c r="F70" s="67"/>
      <c r="G70" s="67"/>
      <c r="H70" s="67"/>
      <c r="I70" s="66"/>
      <c r="J70" s="68"/>
      <c r="K70" s="69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</row>
    <row r="71" spans="3:83" ht="12">
      <c r="C71" s="3" t="str">
        <f>IF(условия!$E$9=1,условия!$C$9,IF(условия!$E$10=1,условия!$C$10,IF(условия!$E$11=1,условия!$C$11,"")))</f>
        <v>ОСНО</v>
      </c>
      <c r="E71" s="17" t="s">
        <v>51</v>
      </c>
      <c r="F71" s="17"/>
      <c r="G71" s="17"/>
      <c r="H71" s="17"/>
      <c r="I71" s="17"/>
      <c r="J71" s="54">
        <f>SUM($K71:$CF71)</f>
        <v>985025996.46625173</v>
      </c>
      <c r="L71" s="13">
        <v>0</v>
      </c>
      <c r="M71" s="13">
        <f t="shared" ref="M71:AR71" si="120">IF(AND(M60-M79&gt;0,M60-M79&lt;L75),M60-M79,IF(AND(M60-M79&gt;0,M60-M79&gt;L75),L75,0))</f>
        <v>0</v>
      </c>
      <c r="N71" s="13">
        <f t="shared" si="120"/>
        <v>0</v>
      </c>
      <c r="O71" s="13">
        <f t="shared" si="120"/>
        <v>0</v>
      </c>
      <c r="P71" s="13">
        <f t="shared" si="120"/>
        <v>0</v>
      </c>
      <c r="Q71" s="13">
        <f t="shared" si="120"/>
        <v>0</v>
      </c>
      <c r="R71" s="13">
        <f t="shared" si="120"/>
        <v>0</v>
      </c>
      <c r="S71" s="13">
        <f t="shared" si="120"/>
        <v>0</v>
      </c>
      <c r="T71" s="13">
        <f t="shared" si="120"/>
        <v>0</v>
      </c>
      <c r="U71" s="13">
        <f t="shared" si="120"/>
        <v>0</v>
      </c>
      <c r="V71" s="13">
        <f t="shared" si="120"/>
        <v>0</v>
      </c>
      <c r="W71" s="13">
        <f t="shared" si="120"/>
        <v>0</v>
      </c>
      <c r="X71" s="13">
        <f t="shared" si="120"/>
        <v>0</v>
      </c>
      <c r="Y71" s="13">
        <f t="shared" si="120"/>
        <v>0</v>
      </c>
      <c r="Z71" s="13">
        <f t="shared" si="120"/>
        <v>0</v>
      </c>
      <c r="AA71" s="13">
        <f t="shared" si="120"/>
        <v>0</v>
      </c>
      <c r="AB71" s="13">
        <f t="shared" si="120"/>
        <v>0</v>
      </c>
      <c r="AC71" s="13">
        <f t="shared" si="120"/>
        <v>0</v>
      </c>
      <c r="AD71" s="13">
        <f t="shared" si="120"/>
        <v>0</v>
      </c>
      <c r="AE71" s="13">
        <f t="shared" si="120"/>
        <v>0</v>
      </c>
      <c r="AF71" s="13">
        <f t="shared" si="120"/>
        <v>0</v>
      </c>
      <c r="AG71" s="13">
        <f t="shared" si="120"/>
        <v>0</v>
      </c>
      <c r="AH71" s="13">
        <f t="shared" si="120"/>
        <v>0</v>
      </c>
      <c r="AI71" s="13">
        <f t="shared" si="120"/>
        <v>0</v>
      </c>
      <c r="AJ71" s="13">
        <f t="shared" si="120"/>
        <v>0</v>
      </c>
      <c r="AK71" s="13">
        <f t="shared" si="120"/>
        <v>0</v>
      </c>
      <c r="AL71" s="13">
        <f t="shared" si="120"/>
        <v>0</v>
      </c>
      <c r="AM71" s="13">
        <f t="shared" si="120"/>
        <v>0</v>
      </c>
      <c r="AN71" s="13">
        <f t="shared" si="120"/>
        <v>0</v>
      </c>
      <c r="AO71" s="13">
        <f t="shared" si="120"/>
        <v>0</v>
      </c>
      <c r="AP71" s="13">
        <f t="shared" si="120"/>
        <v>0</v>
      </c>
      <c r="AQ71" s="13">
        <f t="shared" si="120"/>
        <v>0</v>
      </c>
      <c r="AR71" s="13">
        <f t="shared" si="120"/>
        <v>0</v>
      </c>
      <c r="AS71" s="13">
        <f t="shared" ref="AS71:BX71" si="121">IF(AND(AS60-AS79&gt;0,AS60-AS79&lt;AR75),AS60-AS79,IF(AND(AS60-AS79&gt;0,AS60-AS79&gt;AR75),AR75,0))</f>
        <v>0</v>
      </c>
      <c r="AT71" s="13">
        <f t="shared" si="121"/>
        <v>0</v>
      </c>
      <c r="AU71" s="13">
        <f t="shared" si="121"/>
        <v>0</v>
      </c>
      <c r="AV71" s="13">
        <f t="shared" si="121"/>
        <v>0</v>
      </c>
      <c r="AW71" s="13">
        <f t="shared" si="121"/>
        <v>0</v>
      </c>
      <c r="AX71" s="13">
        <f t="shared" si="121"/>
        <v>61587563.483846128</v>
      </c>
      <c r="AY71" s="13">
        <f t="shared" si="121"/>
        <v>57594315.328089327</v>
      </c>
      <c r="AZ71" s="13">
        <f t="shared" si="121"/>
        <v>58723304.879581496</v>
      </c>
      <c r="BA71" s="13">
        <f t="shared" si="121"/>
        <v>63395285.449180618</v>
      </c>
      <c r="BB71" s="13">
        <f t="shared" si="121"/>
        <v>68111727.845372751</v>
      </c>
      <c r="BC71" s="13">
        <f t="shared" si="121"/>
        <v>72865990.70438759</v>
      </c>
      <c r="BD71" s="13">
        <f t="shared" si="121"/>
        <v>77658363.307200208</v>
      </c>
      <c r="BE71" s="13">
        <f t="shared" si="121"/>
        <v>82489151.110322952</v>
      </c>
      <c r="BF71" s="13">
        <f t="shared" si="121"/>
        <v>83491203.179133639</v>
      </c>
      <c r="BG71" s="13">
        <f t="shared" si="121"/>
        <v>80236647.725388616</v>
      </c>
      <c r="BH71" s="13">
        <f t="shared" si="121"/>
        <v>80218239.66812624</v>
      </c>
      <c r="BI71" s="13">
        <f t="shared" si="121"/>
        <v>76822823.307865366</v>
      </c>
      <c r="BJ71" s="13">
        <f t="shared" si="121"/>
        <v>73876822.933449745</v>
      </c>
      <c r="BK71" s="13">
        <f t="shared" si="121"/>
        <v>47954557.544307128</v>
      </c>
      <c r="BL71" s="13">
        <f t="shared" si="121"/>
        <v>0</v>
      </c>
      <c r="BM71" s="13">
        <f t="shared" si="121"/>
        <v>0</v>
      </c>
      <c r="BN71" s="13">
        <f t="shared" si="121"/>
        <v>0</v>
      </c>
      <c r="BO71" s="13">
        <f t="shared" si="121"/>
        <v>0</v>
      </c>
      <c r="BP71" s="13">
        <f t="shared" si="121"/>
        <v>0</v>
      </c>
      <c r="BQ71" s="13">
        <f t="shared" si="121"/>
        <v>0</v>
      </c>
      <c r="BR71" s="13">
        <f t="shared" si="121"/>
        <v>0</v>
      </c>
      <c r="BS71" s="13">
        <f t="shared" si="121"/>
        <v>0</v>
      </c>
      <c r="BT71" s="13">
        <f t="shared" si="121"/>
        <v>0</v>
      </c>
      <c r="BU71" s="13">
        <f t="shared" si="121"/>
        <v>0</v>
      </c>
      <c r="BV71" s="13">
        <f t="shared" si="121"/>
        <v>0</v>
      </c>
      <c r="BW71" s="13">
        <f t="shared" si="121"/>
        <v>0</v>
      </c>
      <c r="BX71" s="13">
        <f t="shared" si="121"/>
        <v>0</v>
      </c>
      <c r="BY71" s="13">
        <f t="shared" ref="BY71:CE71" si="122">IF(AND(BY60-BY79&gt;0,BY60-BY79&lt;BX75),BY60-BY79,IF(AND(BY60-BY79&gt;0,BY60-BY79&gt;BX75),BX75,0))</f>
        <v>0</v>
      </c>
      <c r="BZ71" s="13">
        <f t="shared" si="122"/>
        <v>0</v>
      </c>
      <c r="CA71" s="13">
        <f t="shared" si="122"/>
        <v>0</v>
      </c>
      <c r="CB71" s="13">
        <f t="shared" si="122"/>
        <v>0</v>
      </c>
      <c r="CC71" s="13">
        <f t="shared" si="122"/>
        <v>0</v>
      </c>
      <c r="CD71" s="13">
        <f t="shared" si="122"/>
        <v>0</v>
      </c>
      <c r="CE71" s="13">
        <f t="shared" si="122"/>
        <v>0</v>
      </c>
    </row>
    <row r="72" spans="3:83" s="65" customFormat="1" ht="12">
      <c r="C72" s="65" t="str">
        <f>IF(условия!$E$9=1,условия!$C$9,IF(условия!$E$10=1,условия!$C$10,IF(условия!$E$11=1,условия!$C$11,"")))</f>
        <v>ОСНО</v>
      </c>
      <c r="E72" s="66"/>
      <c r="F72" s="67"/>
      <c r="G72" s="67"/>
      <c r="H72" s="67"/>
      <c r="I72" s="66"/>
      <c r="J72" s="68"/>
      <c r="K72" s="69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</row>
    <row r="73" spans="3:83" ht="12">
      <c r="C73" s="4" t="str">
        <f>IF(условия!$E$9=1,условия!$C$9,IF(условия!$E$10=1,условия!$C$10,IF(условия!$E$11=1,условия!$C$11,"")))</f>
        <v>ОСНО</v>
      </c>
      <c r="E73" s="15" t="s">
        <v>52</v>
      </c>
      <c r="F73" s="48"/>
      <c r="G73" s="48"/>
      <c r="H73" s="48"/>
      <c r="I73" s="15"/>
      <c r="J73" s="52">
        <f>SUM($K73:$CF73)</f>
        <v>0</v>
      </c>
      <c r="L73" s="11">
        <f>L69-L71</f>
        <v>0</v>
      </c>
      <c r="M73" s="11">
        <f>M69-M71</f>
        <v>0</v>
      </c>
      <c r="N73" s="11">
        <f>N69-N71</f>
        <v>0</v>
      </c>
      <c r="O73" s="11">
        <f t="shared" ref="O73:Q73" si="123">O69-O71</f>
        <v>0</v>
      </c>
      <c r="P73" s="11">
        <f t="shared" si="123"/>
        <v>0</v>
      </c>
      <c r="Q73" s="11">
        <f t="shared" si="123"/>
        <v>0</v>
      </c>
      <c r="R73" s="11">
        <f t="shared" ref="R73:CC73" si="124">R69-R71</f>
        <v>0</v>
      </c>
      <c r="S73" s="11">
        <f t="shared" si="124"/>
        <v>0</v>
      </c>
      <c r="T73" s="11">
        <f t="shared" si="124"/>
        <v>0</v>
      </c>
      <c r="U73" s="11">
        <f t="shared" si="124"/>
        <v>0</v>
      </c>
      <c r="V73" s="11">
        <f t="shared" si="124"/>
        <v>0</v>
      </c>
      <c r="W73" s="11">
        <f t="shared" si="124"/>
        <v>0</v>
      </c>
      <c r="X73" s="11">
        <f t="shared" si="124"/>
        <v>0</v>
      </c>
      <c r="Y73" s="11">
        <f t="shared" si="124"/>
        <v>0</v>
      </c>
      <c r="Z73" s="11">
        <f t="shared" si="124"/>
        <v>0</v>
      </c>
      <c r="AA73" s="11">
        <f t="shared" si="124"/>
        <v>0</v>
      </c>
      <c r="AB73" s="11">
        <f t="shared" si="124"/>
        <v>0</v>
      </c>
      <c r="AC73" s="11">
        <f t="shared" si="124"/>
        <v>0</v>
      </c>
      <c r="AD73" s="11">
        <f t="shared" si="124"/>
        <v>0</v>
      </c>
      <c r="AE73" s="11">
        <f t="shared" si="124"/>
        <v>0</v>
      </c>
      <c r="AF73" s="11">
        <f t="shared" si="124"/>
        <v>0</v>
      </c>
      <c r="AG73" s="11">
        <f t="shared" si="124"/>
        <v>1750000</v>
      </c>
      <c r="AH73" s="11">
        <f t="shared" si="124"/>
        <v>3525000</v>
      </c>
      <c r="AI73" s="11">
        <f t="shared" si="124"/>
        <v>181919423.3888889</v>
      </c>
      <c r="AJ73" s="11">
        <f t="shared" si="124"/>
        <v>118185582.64814813</v>
      </c>
      <c r="AK73" s="11">
        <f t="shared" si="124"/>
        <v>96598791.416839629</v>
      </c>
      <c r="AL73" s="11">
        <f t="shared" si="124"/>
        <v>89111820.608968407</v>
      </c>
      <c r="AM73" s="11">
        <f t="shared" si="124"/>
        <v>81624849.80109714</v>
      </c>
      <c r="AN73" s="11">
        <f t="shared" si="124"/>
        <v>74137878.993225887</v>
      </c>
      <c r="AO73" s="11">
        <f t="shared" si="124"/>
        <v>66650908.185354672</v>
      </c>
      <c r="AP73" s="11">
        <f t="shared" si="124"/>
        <v>59252084.385259598</v>
      </c>
      <c r="AQ73" s="11">
        <f t="shared" si="124"/>
        <v>51913782.336634539</v>
      </c>
      <c r="AR73" s="11">
        <f t="shared" si="124"/>
        <v>44590156.892106742</v>
      </c>
      <c r="AS73" s="11">
        <f t="shared" si="124"/>
        <v>37781178.69846797</v>
      </c>
      <c r="AT73" s="11">
        <f t="shared" si="124"/>
        <v>30402485.127883144</v>
      </c>
      <c r="AU73" s="11">
        <f t="shared" si="124"/>
        <v>23121882.277772836</v>
      </c>
      <c r="AV73" s="11">
        <f t="shared" si="124"/>
        <v>15855840.633362718</v>
      </c>
      <c r="AW73" s="11">
        <f t="shared" si="124"/>
        <v>8604331.072241433</v>
      </c>
      <c r="AX73" s="11">
        <f t="shared" si="124"/>
        <v>-61587563.483846128</v>
      </c>
      <c r="AY73" s="11">
        <f t="shared" si="124"/>
        <v>-57594315.328089327</v>
      </c>
      <c r="AZ73" s="11">
        <f t="shared" si="124"/>
        <v>-58723304.879581496</v>
      </c>
      <c r="BA73" s="11">
        <f t="shared" si="124"/>
        <v>-63395285.449180618</v>
      </c>
      <c r="BB73" s="11">
        <f t="shared" si="124"/>
        <v>-68111727.845372751</v>
      </c>
      <c r="BC73" s="11">
        <f t="shared" si="124"/>
        <v>-72865990.70438759</v>
      </c>
      <c r="BD73" s="11">
        <f t="shared" si="124"/>
        <v>-77658363.307200208</v>
      </c>
      <c r="BE73" s="11">
        <f t="shared" si="124"/>
        <v>-82489151.110322952</v>
      </c>
      <c r="BF73" s="11">
        <f t="shared" si="124"/>
        <v>-83491203.179133639</v>
      </c>
      <c r="BG73" s="11">
        <f t="shared" si="124"/>
        <v>-80236647.725388616</v>
      </c>
      <c r="BH73" s="11">
        <f t="shared" si="124"/>
        <v>-80218239.66812624</v>
      </c>
      <c r="BI73" s="11">
        <f t="shared" si="124"/>
        <v>-76822823.307865366</v>
      </c>
      <c r="BJ73" s="11">
        <f t="shared" si="124"/>
        <v>-73876822.933449745</v>
      </c>
      <c r="BK73" s="11">
        <f t="shared" si="124"/>
        <v>-47954557.544307128</v>
      </c>
      <c r="BL73" s="11">
        <f t="shared" si="124"/>
        <v>0</v>
      </c>
      <c r="BM73" s="11">
        <f t="shared" si="124"/>
        <v>0</v>
      </c>
      <c r="BN73" s="11">
        <f t="shared" si="124"/>
        <v>0</v>
      </c>
      <c r="BO73" s="11">
        <f t="shared" si="124"/>
        <v>0</v>
      </c>
      <c r="BP73" s="11">
        <f t="shared" si="124"/>
        <v>0</v>
      </c>
      <c r="BQ73" s="11">
        <f t="shared" si="124"/>
        <v>0</v>
      </c>
      <c r="BR73" s="11">
        <f t="shared" si="124"/>
        <v>0</v>
      </c>
      <c r="BS73" s="11">
        <f t="shared" si="124"/>
        <v>0</v>
      </c>
      <c r="BT73" s="11">
        <f t="shared" si="124"/>
        <v>0</v>
      </c>
      <c r="BU73" s="11">
        <f t="shared" si="124"/>
        <v>0</v>
      </c>
      <c r="BV73" s="11">
        <f t="shared" si="124"/>
        <v>0</v>
      </c>
      <c r="BW73" s="11">
        <f t="shared" si="124"/>
        <v>0</v>
      </c>
      <c r="BX73" s="11">
        <f t="shared" si="124"/>
        <v>0</v>
      </c>
      <c r="BY73" s="11">
        <f t="shared" si="124"/>
        <v>0</v>
      </c>
      <c r="BZ73" s="11">
        <f t="shared" si="124"/>
        <v>0</v>
      </c>
      <c r="CA73" s="11">
        <f t="shared" si="124"/>
        <v>0</v>
      </c>
      <c r="CB73" s="11">
        <f t="shared" si="124"/>
        <v>0</v>
      </c>
      <c r="CC73" s="11">
        <f t="shared" si="124"/>
        <v>0</v>
      </c>
      <c r="CD73" s="11">
        <f t="shared" ref="CD73:CE73" si="125">CD69-CD71</f>
        <v>0</v>
      </c>
      <c r="CE73" s="11">
        <f t="shared" si="125"/>
        <v>0</v>
      </c>
    </row>
    <row r="74" spans="3:83" s="65" customFormat="1" ht="12">
      <c r="C74" s="65" t="str">
        <f>IF(условия!$E$9=1,условия!$C$9,IF(условия!$E$10=1,условия!$C$10,IF(условия!$E$11=1,условия!$C$11,"")))</f>
        <v>ОСНО</v>
      </c>
      <c r="E74" s="66"/>
      <c r="F74" s="67"/>
      <c r="G74" s="67"/>
      <c r="H74" s="67"/>
      <c r="I74" s="66"/>
      <c r="J74" s="68"/>
      <c r="K74" s="69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</row>
    <row r="75" spans="3:83" ht="12">
      <c r="C75" s="4" t="str">
        <f>IF(условия!$E$9=1,условия!$C$9,IF(условия!$E$10=1,условия!$C$10,IF(условия!$E$11=1,условия!$C$11,"")))</f>
        <v>ОСНО</v>
      </c>
      <c r="E75" s="15" t="s">
        <v>53</v>
      </c>
      <c r="F75" s="48"/>
      <c r="G75" s="48"/>
      <c r="H75" s="48"/>
      <c r="I75" s="15"/>
      <c r="J75" s="52">
        <f>CE75</f>
        <v>0</v>
      </c>
      <c r="L75" s="11">
        <f>SUM(L73:L73)</f>
        <v>0</v>
      </c>
      <c r="M75" s="11">
        <f>M67+M73</f>
        <v>0</v>
      </c>
      <c r="N75" s="11">
        <f>N67+N73</f>
        <v>0</v>
      </c>
      <c r="O75" s="11">
        <f>O67+O73</f>
        <v>0</v>
      </c>
      <c r="P75" s="11">
        <f t="shared" ref="P75:Q75" si="126">P67+P73</f>
        <v>0</v>
      </c>
      <c r="Q75" s="11">
        <f t="shared" si="126"/>
        <v>0</v>
      </c>
      <c r="R75" s="11">
        <f t="shared" ref="R75:CC75" si="127">R67+R73</f>
        <v>0</v>
      </c>
      <c r="S75" s="11">
        <f t="shared" si="127"/>
        <v>0</v>
      </c>
      <c r="T75" s="11">
        <f t="shared" si="127"/>
        <v>0</v>
      </c>
      <c r="U75" s="11">
        <f t="shared" si="127"/>
        <v>0</v>
      </c>
      <c r="V75" s="11">
        <f t="shared" si="127"/>
        <v>0</v>
      </c>
      <c r="W75" s="11">
        <f t="shared" si="127"/>
        <v>0</v>
      </c>
      <c r="X75" s="11">
        <f t="shared" si="127"/>
        <v>0</v>
      </c>
      <c r="Y75" s="11">
        <f t="shared" si="127"/>
        <v>0</v>
      </c>
      <c r="Z75" s="11">
        <f t="shared" si="127"/>
        <v>0</v>
      </c>
      <c r="AA75" s="11">
        <f t="shared" si="127"/>
        <v>0</v>
      </c>
      <c r="AB75" s="11">
        <f t="shared" si="127"/>
        <v>0</v>
      </c>
      <c r="AC75" s="11">
        <f t="shared" si="127"/>
        <v>0</v>
      </c>
      <c r="AD75" s="11">
        <f t="shared" si="127"/>
        <v>0</v>
      </c>
      <c r="AE75" s="11">
        <f t="shared" si="127"/>
        <v>0</v>
      </c>
      <c r="AF75" s="11">
        <f t="shared" si="127"/>
        <v>0</v>
      </c>
      <c r="AG75" s="11">
        <f t="shared" si="127"/>
        <v>1750000</v>
      </c>
      <c r="AH75" s="11">
        <f t="shared" si="127"/>
        <v>5275000</v>
      </c>
      <c r="AI75" s="11">
        <f t="shared" si="127"/>
        <v>187194423.3888889</v>
      </c>
      <c r="AJ75" s="11">
        <f t="shared" si="127"/>
        <v>305380006.03703701</v>
      </c>
      <c r="AK75" s="11">
        <f t="shared" si="127"/>
        <v>401978797.45387661</v>
      </c>
      <c r="AL75" s="11">
        <f t="shared" si="127"/>
        <v>491090618.06284499</v>
      </c>
      <c r="AM75" s="11">
        <f t="shared" si="127"/>
        <v>572715467.86394215</v>
      </c>
      <c r="AN75" s="11">
        <f t="shared" si="127"/>
        <v>646853346.85716808</v>
      </c>
      <c r="AO75" s="11">
        <f t="shared" si="127"/>
        <v>713504255.04252279</v>
      </c>
      <c r="AP75" s="11">
        <f t="shared" si="127"/>
        <v>772756339.42778242</v>
      </c>
      <c r="AQ75" s="11">
        <f t="shared" si="127"/>
        <v>824670121.76441693</v>
      </c>
      <c r="AR75" s="11">
        <f t="shared" si="127"/>
        <v>869260278.6565237</v>
      </c>
      <c r="AS75" s="11">
        <f t="shared" si="127"/>
        <v>907041457.35499167</v>
      </c>
      <c r="AT75" s="11">
        <f t="shared" si="127"/>
        <v>937443942.48287487</v>
      </c>
      <c r="AU75" s="11">
        <f t="shared" si="127"/>
        <v>960565824.76064765</v>
      </c>
      <c r="AV75" s="11">
        <f t="shared" si="127"/>
        <v>976421665.39401042</v>
      </c>
      <c r="AW75" s="11">
        <f t="shared" si="127"/>
        <v>985025996.46625185</v>
      </c>
      <c r="AX75" s="11">
        <f t="shared" si="127"/>
        <v>923438432.98240566</v>
      </c>
      <c r="AY75" s="11">
        <f t="shared" si="127"/>
        <v>865844117.65431631</v>
      </c>
      <c r="AZ75" s="11">
        <f t="shared" si="127"/>
        <v>807120812.77473485</v>
      </c>
      <c r="BA75" s="11">
        <f t="shared" si="127"/>
        <v>743725527.32555425</v>
      </c>
      <c r="BB75" s="11">
        <f t="shared" si="127"/>
        <v>675613799.48018146</v>
      </c>
      <c r="BC75" s="11">
        <f t="shared" si="127"/>
        <v>602747808.77579391</v>
      </c>
      <c r="BD75" s="11">
        <f t="shared" si="127"/>
        <v>525089445.46859372</v>
      </c>
      <c r="BE75" s="11">
        <f t="shared" si="127"/>
        <v>442600294.35827076</v>
      </c>
      <c r="BF75" s="11">
        <f t="shared" si="127"/>
        <v>359109091.17913711</v>
      </c>
      <c r="BG75" s="11">
        <f t="shared" si="127"/>
        <v>278872443.45374846</v>
      </c>
      <c r="BH75" s="11">
        <f t="shared" si="127"/>
        <v>198654203.78562224</v>
      </c>
      <c r="BI75" s="11">
        <f t="shared" si="127"/>
        <v>121831380.47775687</v>
      </c>
      <c r="BJ75" s="11">
        <f t="shared" si="127"/>
        <v>47954557.544307128</v>
      </c>
      <c r="BK75" s="11">
        <f t="shared" si="127"/>
        <v>0</v>
      </c>
      <c r="BL75" s="11">
        <f t="shared" si="127"/>
        <v>0</v>
      </c>
      <c r="BM75" s="11">
        <f t="shared" si="127"/>
        <v>0</v>
      </c>
      <c r="BN75" s="11">
        <f t="shared" si="127"/>
        <v>0</v>
      </c>
      <c r="BO75" s="11">
        <f t="shared" si="127"/>
        <v>0</v>
      </c>
      <c r="BP75" s="11">
        <f t="shared" si="127"/>
        <v>0</v>
      </c>
      <c r="BQ75" s="11">
        <f t="shared" si="127"/>
        <v>0</v>
      </c>
      <c r="BR75" s="11">
        <f t="shared" si="127"/>
        <v>0</v>
      </c>
      <c r="BS75" s="11">
        <f t="shared" si="127"/>
        <v>0</v>
      </c>
      <c r="BT75" s="11">
        <f t="shared" si="127"/>
        <v>0</v>
      </c>
      <c r="BU75" s="11">
        <f t="shared" si="127"/>
        <v>0</v>
      </c>
      <c r="BV75" s="11">
        <f t="shared" si="127"/>
        <v>0</v>
      </c>
      <c r="BW75" s="11">
        <f t="shared" si="127"/>
        <v>0</v>
      </c>
      <c r="BX75" s="11">
        <f t="shared" si="127"/>
        <v>0</v>
      </c>
      <c r="BY75" s="11">
        <f t="shared" si="127"/>
        <v>0</v>
      </c>
      <c r="BZ75" s="11">
        <f t="shared" si="127"/>
        <v>0</v>
      </c>
      <c r="CA75" s="11">
        <f t="shared" si="127"/>
        <v>0</v>
      </c>
      <c r="CB75" s="11">
        <f t="shared" si="127"/>
        <v>0</v>
      </c>
      <c r="CC75" s="11">
        <f t="shared" si="127"/>
        <v>0</v>
      </c>
      <c r="CD75" s="11">
        <f t="shared" ref="CD75:CE75" si="128">CD67+CD73</f>
        <v>0</v>
      </c>
      <c r="CE75" s="11">
        <f t="shared" si="128"/>
        <v>0</v>
      </c>
    </row>
    <row r="76" spans="3:83" s="65" customFormat="1" ht="12">
      <c r="C76" s="65" t="str">
        <f>IF(условия!$E$9=1,условия!$C$9,IF(условия!$E$10=1,условия!$C$10,IF(условия!$E$11=1,условия!$C$11,"")))</f>
        <v>ОСНО</v>
      </c>
      <c r="E76" s="71" t="s">
        <v>70</v>
      </c>
      <c r="F76" s="71"/>
      <c r="G76" s="71"/>
      <c r="H76" s="71"/>
      <c r="I76" s="72"/>
      <c r="J76" s="73">
        <f>MAX(K75:CF75)</f>
        <v>985025996.46625185</v>
      </c>
      <c r="K76" s="69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</row>
    <row r="77" spans="3:83" ht="12">
      <c r="C77" s="4" t="str">
        <f>IF(условия!$E$9=1,условия!$C$9,IF(условия!$E$10=1,условия!$C$10,IF(условия!$E$11=1,условия!$C$11,"")))</f>
        <v>ОСНО</v>
      </c>
      <c r="E77" s="18" t="s">
        <v>54</v>
      </c>
      <c r="F77" s="17"/>
      <c r="G77" s="17"/>
      <c r="H77" s="17"/>
      <c r="I77" s="18"/>
      <c r="J77" s="54">
        <f t="shared" ref="J77" si="129">SUM($K77:$CF77)</f>
        <v>181365554.52740452</v>
      </c>
      <c r="L77" s="14">
        <f>(K75+L69)*$H$65/12</f>
        <v>0</v>
      </c>
      <c r="M77" s="14">
        <f>(L75+M69)*$H$65/12</f>
        <v>0</v>
      </c>
      <c r="N77" s="14">
        <f t="shared" ref="N77:Q77" si="130">(M75+N69)*$H$65/12</f>
        <v>0</v>
      </c>
      <c r="O77" s="14">
        <f t="shared" si="130"/>
        <v>0</v>
      </c>
      <c r="P77" s="14">
        <f t="shared" si="130"/>
        <v>0</v>
      </c>
      <c r="Q77" s="14">
        <f t="shared" si="130"/>
        <v>0</v>
      </c>
      <c r="R77" s="14">
        <f t="shared" ref="R77:CC77" si="131">(Q75+R69)*$H$65/12</f>
        <v>0</v>
      </c>
      <c r="S77" s="14">
        <f t="shared" si="131"/>
        <v>0</v>
      </c>
      <c r="T77" s="14">
        <f t="shared" si="131"/>
        <v>0</v>
      </c>
      <c r="U77" s="14">
        <f t="shared" si="131"/>
        <v>0</v>
      </c>
      <c r="V77" s="14">
        <f t="shared" si="131"/>
        <v>0</v>
      </c>
      <c r="W77" s="14">
        <f t="shared" si="131"/>
        <v>0</v>
      </c>
      <c r="X77" s="14">
        <f t="shared" si="131"/>
        <v>0</v>
      </c>
      <c r="Y77" s="14">
        <f t="shared" si="131"/>
        <v>0</v>
      </c>
      <c r="Z77" s="14">
        <f t="shared" si="131"/>
        <v>0</v>
      </c>
      <c r="AA77" s="14">
        <f t="shared" si="131"/>
        <v>0</v>
      </c>
      <c r="AB77" s="14">
        <f t="shared" si="131"/>
        <v>0</v>
      </c>
      <c r="AC77" s="14">
        <f t="shared" si="131"/>
        <v>0</v>
      </c>
      <c r="AD77" s="14">
        <f t="shared" si="131"/>
        <v>0</v>
      </c>
      <c r="AE77" s="14">
        <f t="shared" si="131"/>
        <v>0</v>
      </c>
      <c r="AF77" s="14">
        <f t="shared" si="131"/>
        <v>0</v>
      </c>
      <c r="AG77" s="14">
        <f t="shared" si="131"/>
        <v>17500</v>
      </c>
      <c r="AH77" s="14">
        <f t="shared" si="131"/>
        <v>52750</v>
      </c>
      <c r="AI77" s="14">
        <f t="shared" si="131"/>
        <v>1871944.2338888887</v>
      </c>
      <c r="AJ77" s="14">
        <f t="shared" si="131"/>
        <v>3053800.0603703703</v>
      </c>
      <c r="AK77" s="14">
        <f t="shared" si="131"/>
        <v>4019787.9745387658</v>
      </c>
      <c r="AL77" s="14">
        <f t="shared" si="131"/>
        <v>4910906.1806284497</v>
      </c>
      <c r="AM77" s="14">
        <f t="shared" si="131"/>
        <v>5727154.6786394222</v>
      </c>
      <c r="AN77" s="14">
        <f t="shared" si="131"/>
        <v>6468533.4685716806</v>
      </c>
      <c r="AO77" s="14">
        <f t="shared" si="131"/>
        <v>7135042.5504252277</v>
      </c>
      <c r="AP77" s="14">
        <f t="shared" si="131"/>
        <v>7727563.3942778232</v>
      </c>
      <c r="AQ77" s="14">
        <f t="shared" si="131"/>
        <v>8246701.217644169</v>
      </c>
      <c r="AR77" s="14">
        <f t="shared" si="131"/>
        <v>8692602.7865652367</v>
      </c>
      <c r="AS77" s="14">
        <f t="shared" si="131"/>
        <v>9070414.573549917</v>
      </c>
      <c r="AT77" s="14">
        <f t="shared" si="131"/>
        <v>9374439.4248287473</v>
      </c>
      <c r="AU77" s="14">
        <f t="shared" si="131"/>
        <v>9605658.2476064768</v>
      </c>
      <c r="AV77" s="14">
        <f t="shared" si="131"/>
        <v>9764216.6539401039</v>
      </c>
      <c r="AW77" s="14">
        <f t="shared" si="131"/>
        <v>9850259.9646625184</v>
      </c>
      <c r="AX77" s="14">
        <f t="shared" si="131"/>
        <v>9850259.9646625184</v>
      </c>
      <c r="AY77" s="14">
        <f t="shared" si="131"/>
        <v>9234384.3298240565</v>
      </c>
      <c r="AZ77" s="14">
        <f t="shared" si="131"/>
        <v>8658441.1765431631</v>
      </c>
      <c r="BA77" s="14">
        <f t="shared" si="131"/>
        <v>8071208.1277473485</v>
      </c>
      <c r="BB77" s="14">
        <f t="shared" si="131"/>
        <v>7437255.2732555419</v>
      </c>
      <c r="BC77" s="14">
        <f t="shared" si="131"/>
        <v>6756137.9948018147</v>
      </c>
      <c r="BD77" s="14">
        <f t="shared" si="131"/>
        <v>6027478.0877579385</v>
      </c>
      <c r="BE77" s="14">
        <f t="shared" si="131"/>
        <v>5250894.4546859367</v>
      </c>
      <c r="BF77" s="14">
        <f t="shared" si="131"/>
        <v>4426002.9435827071</v>
      </c>
      <c r="BG77" s="14">
        <f t="shared" si="131"/>
        <v>3591090.9117913712</v>
      </c>
      <c r="BH77" s="14">
        <f t="shared" si="131"/>
        <v>2788724.4345374848</v>
      </c>
      <c r="BI77" s="14">
        <f t="shared" si="131"/>
        <v>1986542.0378562224</v>
      </c>
      <c r="BJ77" s="14">
        <f t="shared" si="131"/>
        <v>1218313.8047775687</v>
      </c>
      <c r="BK77" s="14">
        <f t="shared" si="131"/>
        <v>479545.57544307125</v>
      </c>
      <c r="BL77" s="14">
        <f t="shared" si="131"/>
        <v>0</v>
      </c>
      <c r="BM77" s="14">
        <f t="shared" si="131"/>
        <v>0</v>
      </c>
      <c r="BN77" s="14">
        <f t="shared" si="131"/>
        <v>0</v>
      </c>
      <c r="BO77" s="14">
        <f t="shared" si="131"/>
        <v>0</v>
      </c>
      <c r="BP77" s="14">
        <f t="shared" si="131"/>
        <v>0</v>
      </c>
      <c r="BQ77" s="14">
        <f t="shared" si="131"/>
        <v>0</v>
      </c>
      <c r="BR77" s="14">
        <f t="shared" si="131"/>
        <v>0</v>
      </c>
      <c r="BS77" s="14">
        <f t="shared" si="131"/>
        <v>0</v>
      </c>
      <c r="BT77" s="14">
        <f t="shared" si="131"/>
        <v>0</v>
      </c>
      <c r="BU77" s="14">
        <f t="shared" si="131"/>
        <v>0</v>
      </c>
      <c r="BV77" s="14">
        <f t="shared" si="131"/>
        <v>0</v>
      </c>
      <c r="BW77" s="14">
        <f t="shared" si="131"/>
        <v>0</v>
      </c>
      <c r="BX77" s="14">
        <f t="shared" si="131"/>
        <v>0</v>
      </c>
      <c r="BY77" s="14">
        <f t="shared" si="131"/>
        <v>0</v>
      </c>
      <c r="BZ77" s="14">
        <f t="shared" si="131"/>
        <v>0</v>
      </c>
      <c r="CA77" s="14">
        <f t="shared" si="131"/>
        <v>0</v>
      </c>
      <c r="CB77" s="14">
        <f t="shared" si="131"/>
        <v>0</v>
      </c>
      <c r="CC77" s="14">
        <f t="shared" si="131"/>
        <v>0</v>
      </c>
      <c r="CD77" s="14">
        <f t="shared" ref="CD77:CE77" si="132">(CC75+CD69)*$H$65/12</f>
        <v>0</v>
      </c>
      <c r="CE77" s="14">
        <f t="shared" si="132"/>
        <v>0</v>
      </c>
    </row>
    <row r="78" spans="3:83" s="65" customFormat="1" ht="12">
      <c r="C78" s="65" t="str">
        <f>IF(условия!$E$9=1,условия!$C$9,IF(условия!$E$10=1,условия!$C$10,IF(условия!$E$11=1,условия!$C$11,"")))</f>
        <v>ОСНО</v>
      </c>
      <c r="E78" s="66"/>
      <c r="F78" s="67"/>
      <c r="G78" s="67"/>
      <c r="H78" s="67"/>
      <c r="I78" s="66"/>
      <c r="J78" s="68"/>
      <c r="K78" s="69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</row>
    <row r="79" spans="3:83" ht="12">
      <c r="C79" s="3" t="str">
        <f>IF(условия!$E$9=1,условия!$C$9,IF(условия!$E$10=1,условия!$C$10,IF(условия!$E$11=1,условия!$C$11,"")))</f>
        <v>ОСНО</v>
      </c>
      <c r="E79" s="17" t="s">
        <v>55</v>
      </c>
      <c r="F79" s="17"/>
      <c r="G79" s="17"/>
      <c r="H79" s="17"/>
      <c r="I79" s="17"/>
      <c r="J79" s="54">
        <f t="shared" ref="J79" si="133">SUM($K79:$CF79)</f>
        <v>181365554.52740452</v>
      </c>
      <c r="L79" s="13">
        <v>0</v>
      </c>
      <c r="M79" s="13">
        <f>IF(условия!$E$74=1,M77,IF(условия!$E$75=1,IF(AND(M60&gt;0,M60&lt;SUM($L77:M77)-SUM($L79:L79)),M60,IF(AND(M60&gt;0,M60&gt;=SUM($L77:M77)-SUM($L79:L79)),SUM($L77:M77)-SUM($L79:L79),0)),0))</f>
        <v>0</v>
      </c>
      <c r="N79" s="13">
        <f>IF(условия!$E$74=1,N77,IF(условия!$E$75=1,IF(AND(N60&gt;0,N60&lt;SUM($L77:N77)-SUM($L79:M79)),N60,IF(AND(N60&gt;0,N60&gt;=SUM($L77:N77)-SUM($L79:M79)),SUM($L77:N77)-SUM($L79:M79),0)),0))</f>
        <v>0</v>
      </c>
      <c r="O79" s="13">
        <f>IF(условия!$E$74=1,O77,IF(условия!$E$75=1,IF(AND(O60&gt;0,O60&lt;SUM($L77:O77)-SUM($L79:N79)),O60,IF(AND(O60&gt;0,O60&gt;=SUM($L77:O77)-SUM($L79:N79)),SUM($L77:O77)-SUM($L79:N79),0)),0))</f>
        <v>0</v>
      </c>
      <c r="P79" s="13">
        <f>IF(условия!$E$74=1,P77,IF(условия!$E$75=1,IF(AND(P60&gt;0,P60&lt;SUM($L77:P77)-SUM($L79:O79)),P60,IF(AND(P60&gt;0,P60&gt;=SUM($L77:P77)-SUM($L79:O79)),SUM($L77:P77)-SUM($L79:O79),0)),0))</f>
        <v>0</v>
      </c>
      <c r="Q79" s="13">
        <f>IF(условия!$E$74=1,Q77,IF(условия!$E$75=1,IF(AND(Q60&gt;0,Q60&lt;SUM($L77:Q77)-SUM($L79:P79)),Q60,IF(AND(Q60&gt;0,Q60&gt;=SUM($L77:Q77)-SUM($L79:P79)),SUM($L77:Q77)-SUM($L79:P79),0)),0))</f>
        <v>0</v>
      </c>
      <c r="R79" s="13">
        <f>IF(условия!$E$74=1,R77,IF(условия!$E$75=1,IF(AND(R60&gt;0,R60&lt;SUM($L77:R77)-SUM($L79:Q79)),R60,IF(AND(R60&gt;0,R60&gt;=SUM($L77:R77)-SUM($L79:Q79)),SUM($L77:R77)-SUM($L79:Q79),0)),0))</f>
        <v>0</v>
      </c>
      <c r="S79" s="13">
        <f>IF(условия!$E$74=1,S77,IF(условия!$E$75=1,IF(AND(S60&gt;0,S60&lt;SUM($L77:S77)-SUM($L79:R79)),S60,IF(AND(S60&gt;0,S60&gt;=SUM($L77:S77)-SUM($L79:R79)),SUM($L77:S77)-SUM($L79:R79),0)),0))</f>
        <v>0</v>
      </c>
      <c r="T79" s="13">
        <f>IF(условия!$E$74=1,T77,IF(условия!$E$75=1,IF(AND(T60&gt;0,T60&lt;SUM($L77:T77)-SUM($L79:S79)),T60,IF(AND(T60&gt;0,T60&gt;=SUM($L77:T77)-SUM($L79:S79)),SUM($L77:T77)-SUM($L79:S79),0)),0))</f>
        <v>0</v>
      </c>
      <c r="U79" s="13">
        <f>IF(условия!$E$74=1,U77,IF(условия!$E$75=1,IF(AND(U60&gt;0,U60&lt;SUM($L77:U77)-SUM($L79:T79)),U60,IF(AND(U60&gt;0,U60&gt;=SUM($L77:U77)-SUM($L79:T79)),SUM($L77:U77)-SUM($L79:T79),0)),0))</f>
        <v>0</v>
      </c>
      <c r="V79" s="13">
        <f>IF(условия!$E$74=1,V77,IF(условия!$E$75=1,IF(AND(V60&gt;0,V60&lt;SUM($L77:V77)-SUM($L79:U79)),V60,IF(AND(V60&gt;0,V60&gt;=SUM($L77:V77)-SUM($L79:U79)),SUM($L77:V77)-SUM($L79:U79),0)),0))</f>
        <v>0</v>
      </c>
      <c r="W79" s="13">
        <f>IF(условия!$E$74=1,W77,IF(условия!$E$75=1,IF(AND(W60&gt;0,W60&lt;SUM($L77:W77)-SUM($L79:V79)),W60,IF(AND(W60&gt;0,W60&gt;=SUM($L77:W77)-SUM($L79:V79)),SUM($L77:W77)-SUM($L79:V79),0)),0))</f>
        <v>0</v>
      </c>
      <c r="X79" s="13">
        <f>IF(условия!$E$74=1,X77,IF(условия!$E$75=1,IF(AND(X60&gt;0,X60&lt;SUM($L77:X77)-SUM($L79:W79)),X60,IF(AND(X60&gt;0,X60&gt;=SUM($L77:X77)-SUM($L79:W79)),SUM($L77:X77)-SUM($L79:W79),0)),0))</f>
        <v>0</v>
      </c>
      <c r="Y79" s="13">
        <f>IF(условия!$E$74=1,Y77,IF(условия!$E$75=1,IF(AND(Y60&gt;0,Y60&lt;SUM($L77:Y77)-SUM($L79:X79)),Y60,IF(AND(Y60&gt;0,Y60&gt;=SUM($L77:Y77)-SUM($L79:X79)),SUM($L77:Y77)-SUM($L79:X79),0)),0))</f>
        <v>0</v>
      </c>
      <c r="Z79" s="13">
        <f>IF(условия!$E$74=1,Z77,IF(условия!$E$75=1,IF(AND(Z60&gt;0,Z60&lt;SUM($L77:Z77)-SUM($L79:Y79)),Z60,IF(AND(Z60&gt;0,Z60&gt;=SUM($L77:Z77)-SUM($L79:Y79)),SUM($L77:Z77)-SUM($L79:Y79),0)),0))</f>
        <v>0</v>
      </c>
      <c r="AA79" s="13">
        <f>IF(условия!$E$74=1,AA77,IF(условия!$E$75=1,IF(AND(AA60&gt;0,AA60&lt;SUM($L77:AA77)-SUM($L79:Z79)),AA60,IF(AND(AA60&gt;0,AA60&gt;=SUM($L77:AA77)-SUM($L79:Z79)),SUM($L77:AA77)-SUM($L79:Z79),0)),0))</f>
        <v>0</v>
      </c>
      <c r="AB79" s="13">
        <f>IF(условия!$E$74=1,AB77,IF(условия!$E$75=1,IF(AND(AB60&gt;0,AB60&lt;SUM($L77:AB77)-SUM($L79:AA79)),AB60,IF(AND(AB60&gt;0,AB60&gt;=SUM($L77:AB77)-SUM($L79:AA79)),SUM($L77:AB77)-SUM($L79:AA79),0)),0))</f>
        <v>0</v>
      </c>
      <c r="AC79" s="13">
        <f>IF(условия!$E$74=1,AC77,IF(условия!$E$75=1,IF(AND(AC60&gt;0,AC60&lt;SUM($L77:AC77)-SUM($L79:AB79)),AC60,IF(AND(AC60&gt;0,AC60&gt;=SUM($L77:AC77)-SUM($L79:AB79)),SUM($L77:AC77)-SUM($L79:AB79),0)),0))</f>
        <v>0</v>
      </c>
      <c r="AD79" s="13">
        <f>IF(условия!$E$74=1,AD77,IF(условия!$E$75=1,IF(AND(AD60&gt;0,AD60&lt;SUM($L77:AD77)-SUM($L79:AC79)),AD60,IF(AND(AD60&gt;0,AD60&gt;=SUM($L77:AD77)-SUM($L79:AC79)),SUM($L77:AD77)-SUM($L79:AC79),0)),0))</f>
        <v>0</v>
      </c>
      <c r="AE79" s="13">
        <f>IF(условия!$E$74=1,AE77,IF(условия!$E$75=1,IF(AND(AE60&gt;0,AE60&lt;SUM($L77:AE77)-SUM($L79:AD79)),AE60,IF(AND(AE60&gt;0,AE60&gt;=SUM($L77:AE77)-SUM($L79:AD79)),SUM($L77:AE77)-SUM($L79:AD79),0)),0))</f>
        <v>0</v>
      </c>
      <c r="AF79" s="13">
        <f>IF(условия!$E$74=1,AF77,IF(условия!$E$75=1,IF(AND(AF60&gt;0,AF60&lt;SUM($L77:AF77)-SUM($L79:AE79)),AF60,IF(AND(AF60&gt;0,AF60&gt;=SUM($L77:AF77)-SUM($L79:AE79)),SUM($L77:AF77)-SUM($L79:AE79),0)),0))</f>
        <v>0</v>
      </c>
      <c r="AG79" s="13">
        <f>IF(условия!$E$74=1,AG77,IF(условия!$E$75=1,IF(AND(AG60&gt;0,AG60&lt;SUM($L77:AG77)-SUM($L79:AF79)),AG60,IF(AND(AG60&gt;0,AG60&gt;=SUM($L77:AG77)-SUM($L79:AF79)),SUM($L77:AG77)-SUM($L79:AF79),0)),0))</f>
        <v>0</v>
      </c>
      <c r="AH79" s="13">
        <f>IF(условия!$E$74=1,AH77,IF(условия!$E$75=1,IF(AND(AH60&gt;0,AH60&lt;SUM($L77:AH77)-SUM($L79:AG79)),AH60,IF(AND(AH60&gt;0,AH60&gt;=SUM($L77:AH77)-SUM($L79:AG79)),SUM($L77:AH77)-SUM($L79:AG79),0)),0))</f>
        <v>0</v>
      </c>
      <c r="AI79" s="13">
        <f>IF(условия!$E$74=1,AI77,IF(условия!$E$75=1,IF(AND(AI60&gt;0,AI60&lt;SUM($L77:AI77)-SUM($L79:AH79)),AI60,IF(AND(AI60&gt;0,AI60&gt;=SUM($L77:AI77)-SUM($L79:AH79)),SUM($L77:AI77)-SUM($L79:AH79),0)),0))</f>
        <v>0</v>
      </c>
      <c r="AJ79" s="13">
        <f>IF(условия!$E$74=1,AJ77,IF(условия!$E$75=1,IF(AND(AJ60&gt;0,AJ60&lt;SUM($L77:AJ77)-SUM($L79:AI79)),AJ60,IF(AND(AJ60&gt;0,AJ60&gt;=SUM($L77:AJ77)-SUM($L79:AI79)),SUM($L77:AJ77)-SUM($L79:AI79),0)),0))</f>
        <v>0</v>
      </c>
      <c r="AK79" s="13">
        <f>IF(условия!$E$74=1,AK77,IF(условия!$E$75=1,IF(AND(AK60&gt;0,AK60&lt;SUM($L77:AK77)-SUM($L79:AJ79)),AK60,IF(AND(AK60&gt;0,AK60&gt;=SUM($L77:AK77)-SUM($L79:AJ79)),SUM($L77:AK77)-SUM($L79:AJ79),0)),0))</f>
        <v>0</v>
      </c>
      <c r="AL79" s="13">
        <f>IF(условия!$E$74=1,AL77,IF(условия!$E$75=1,IF(AND(AL60&gt;0,AL60&lt;SUM($L77:AL77)-SUM($L79:AK79)),AL60,IF(AND(AL60&gt;0,AL60&gt;=SUM($L77:AL77)-SUM($L79:AK79)),SUM($L77:AL77)-SUM($L79:AK79),0)),0))</f>
        <v>0</v>
      </c>
      <c r="AM79" s="13">
        <f>IF(условия!$E$74=1,AM77,IF(условия!$E$75=1,IF(AND(AM60&gt;0,AM60&lt;SUM($L77:AM77)-SUM($L79:AL79)),AM60,IF(AND(AM60&gt;0,AM60&gt;=SUM($L77:AM77)-SUM($L79:AL79)),SUM($L77:AM77)-SUM($L79:AL79),0)),0))</f>
        <v>0</v>
      </c>
      <c r="AN79" s="13">
        <f>IF(условия!$E$74=1,AN77,IF(условия!$E$75=1,IF(AND(AN60&gt;0,AN60&lt;SUM($L77:AN77)-SUM($L79:AM79)),AN60,IF(AND(AN60&gt;0,AN60&gt;=SUM($L77:AN77)-SUM($L79:AM79)),SUM($L77:AN77)-SUM($L79:AM79),0)),0))</f>
        <v>0</v>
      </c>
      <c r="AO79" s="13">
        <f>IF(условия!$E$74=1,AO77,IF(условия!$E$75=1,IF(AND(AO60&gt;0,AO60&lt;SUM($L77:AO77)-SUM($L79:AN79)),AO60,IF(AND(AO60&gt;0,AO60&gt;=SUM($L77:AO77)-SUM($L79:AN79)),SUM($L77:AO77)-SUM($L79:AN79),0)),0))</f>
        <v>0</v>
      </c>
      <c r="AP79" s="13">
        <f>IF(условия!$E$74=1,AP77,IF(условия!$E$75=1,IF(AND(AP60&gt;0,AP60&lt;SUM($L77:AP77)-SUM($L79:AO79)),AP60,IF(AND(AP60&gt;0,AP60&gt;=SUM($L77:AP77)-SUM($L79:AO79)),SUM($L77:AP77)-SUM($L79:AO79),0)),0))</f>
        <v>0</v>
      </c>
      <c r="AQ79" s="13">
        <f>IF(условия!$E$74=1,AQ77,IF(условия!$E$75=1,IF(AND(AQ60&gt;0,AQ60&lt;SUM($L77:AQ77)-SUM($L79:AP79)),AQ60,IF(AND(AQ60&gt;0,AQ60&gt;=SUM($L77:AQ77)-SUM($L79:AP79)),SUM($L77:AQ77)-SUM($L79:AP79),0)),0))</f>
        <v>0</v>
      </c>
      <c r="AR79" s="13">
        <f>IF(условия!$E$74=1,AR77,IF(условия!$E$75=1,IF(AND(AR60&gt;0,AR60&lt;SUM($L77:AR77)-SUM($L79:AQ79)),AR60,IF(AND(AR60&gt;0,AR60&gt;=SUM($L77:AR77)-SUM($L79:AQ79)),SUM($L77:AR77)-SUM($L79:AQ79),0)),0))</f>
        <v>0</v>
      </c>
      <c r="AS79" s="13">
        <f>IF(условия!$E$74=1,AS77,IF(условия!$E$75=1,IF(AND(AS60&gt;0,AS60&lt;SUM($L77:AS77)-SUM($L79:AR79)),AS60,IF(AND(AS60&gt;0,AS60&gt;=SUM($L77:AS77)-SUM($L79:AR79)),SUM($L77:AS77)-SUM($L79:AR79),0)),0))</f>
        <v>0</v>
      </c>
      <c r="AT79" s="13">
        <f>IF(условия!$E$74=1,AT77,IF(условия!$E$75=1,IF(AND(AT60&gt;0,AT60&lt;SUM($L77:AT77)-SUM($L79:AS79)),AT60,IF(AND(AT60&gt;0,AT60&gt;=SUM($L77:AT77)-SUM($L79:AS79)),SUM($L77:AT77)-SUM($L79:AS79),0)),0))</f>
        <v>0</v>
      </c>
      <c r="AU79" s="13">
        <f>IF(условия!$E$74=1,AU77,IF(условия!$E$75=1,IF(AND(AU60&gt;0,AU60&lt;SUM($L77:AU77)-SUM($L79:AT79)),AU60,IF(AND(AU60&gt;0,AU60&gt;=SUM($L77:AU77)-SUM($L79:AT79)),SUM($L77:AU77)-SUM($L79:AT79),0)),0))</f>
        <v>0</v>
      </c>
      <c r="AV79" s="13">
        <f>IF(условия!$E$74=1,AV77,IF(условия!$E$75=1,IF(AND(AV60&gt;0,AV60&lt;SUM($L77:AV77)-SUM($L79:AU79)),AV60,IF(AND(AV60&gt;0,AV60&gt;=SUM($L77:AV77)-SUM($L79:AU79)),SUM($L77:AV77)-SUM($L79:AU79),0)),0))</f>
        <v>0</v>
      </c>
      <c r="AW79" s="13">
        <f>IF(условия!$E$74=1,AW77,IF(условия!$E$75=1,IF(AND(AW60&gt;0,AW60&lt;SUM($L77:AW77)-SUM($L79:AV79)),AW60,IF(AND(AW60&gt;0,AW60&gt;=SUM($L77:AW77)-SUM($L79:AV79)),SUM($L77:AW77)-SUM($L79:AV79),0)),0))</f>
        <v>0</v>
      </c>
      <c r="AX79" s="13">
        <f>IF(условия!$E$74=1,AX77,IF(условия!$E$75=1,IF(AND(AX60&gt;0,AX60&lt;SUM($L77:AX77)-SUM($L79:AW79)),AX60,IF(AND(AX60&gt;0,AX60&gt;=SUM($L77:AX77)-SUM($L79:AW79)),SUM($L77:AX77)-SUM($L79:AW79),0)),0))</f>
        <v>115439535.37480032</v>
      </c>
      <c r="AY79" s="13">
        <f>IF(условия!$E$74=1,AY77,IF(условия!$E$75=1,IF(AND(AY60&gt;0,AY60&lt;SUM($L77:AY77)-SUM($L79:AX79)),AY60,IF(AND(AY60&gt;0,AY60&gt;=SUM($L77:AY77)-SUM($L79:AX79)),SUM($L77:AY77)-SUM($L79:AX79),0)),0))</f>
        <v>9234384.3298240602</v>
      </c>
      <c r="AZ79" s="13">
        <f>IF(условия!$E$74=1,AZ77,IF(условия!$E$75=1,IF(AND(AZ60&gt;0,AZ60&lt;SUM($L77:AZ77)-SUM($L79:AY79)),AZ60,IF(AND(AZ60&gt;0,AZ60&gt;=SUM($L77:AZ77)-SUM($L79:AY79)),SUM($L77:AZ77)-SUM($L79:AY79),0)),0))</f>
        <v>8658441.1765431613</v>
      </c>
      <c r="BA79" s="13">
        <f>IF(условия!$E$74=1,BA77,IF(условия!$E$75=1,IF(AND(BA60&gt;0,BA60&lt;SUM($L77:BA77)-SUM($L79:AZ79)),BA60,IF(AND(BA60&gt;0,BA60&gt;=SUM($L77:BA77)-SUM($L79:AZ79)),SUM($L77:BA77)-SUM($L79:AZ79),0)),0))</f>
        <v>8071208.127747342</v>
      </c>
      <c r="BB79" s="13">
        <f>IF(условия!$E$74=1,BB77,IF(условия!$E$75=1,IF(AND(BB60&gt;0,BB60&lt;SUM($L77:BB77)-SUM($L79:BA79)),BB60,IF(AND(BB60&gt;0,BB60&gt;=SUM($L77:BB77)-SUM($L79:BA79)),SUM($L77:BB77)-SUM($L79:BA79),0)),0))</f>
        <v>7437255.273255527</v>
      </c>
      <c r="BC79" s="13">
        <f>IF(условия!$E$74=1,BC77,IF(условия!$E$75=1,IF(AND(BC60&gt;0,BC60&lt;SUM($L77:BC77)-SUM($L79:BB79)),BC60,IF(AND(BC60&gt;0,BC60&gt;=SUM($L77:BC77)-SUM($L79:BB79)),SUM($L77:BC77)-SUM($L79:BB79),0)),0))</f>
        <v>6756137.9948018193</v>
      </c>
      <c r="BD79" s="13">
        <f>IF(условия!$E$74=1,BD77,IF(условия!$E$75=1,IF(AND(BD60&gt;0,BD60&lt;SUM($L77:BD77)-SUM($L79:BC79)),BD60,IF(AND(BD60&gt;0,BD60&gt;=SUM($L77:BD77)-SUM($L79:BC79)),SUM($L77:BD77)-SUM($L79:BC79),0)),0))</f>
        <v>6027478.0877579451</v>
      </c>
      <c r="BE79" s="13">
        <f>IF(условия!$E$74=1,BE77,IF(условия!$E$75=1,IF(AND(BE60&gt;0,BE60&lt;SUM($L77:BE77)-SUM($L79:BD79)),BE60,IF(AND(BE60&gt;0,BE60&gt;=SUM($L77:BE77)-SUM($L79:BD79)),SUM($L77:BE77)-SUM($L79:BD79),0)),0))</f>
        <v>5250894.4546859264</v>
      </c>
      <c r="BF79" s="13">
        <f>IF(условия!$E$74=1,BF77,IF(условия!$E$75=1,IF(AND(BF60&gt;0,BF60&lt;SUM($L77:BF77)-SUM($L79:BE79)),BF60,IF(AND(BF60&gt;0,BF60&gt;=SUM($L77:BF77)-SUM($L79:BE79)),SUM($L77:BF77)-SUM($L79:BE79),0)),0))</f>
        <v>4426002.9435827136</v>
      </c>
      <c r="BG79" s="13">
        <f>IF(условия!$E$74=1,BG77,IF(условия!$E$75=1,IF(AND(BG60&gt;0,BG60&lt;SUM($L77:BG77)-SUM($L79:BF79)),BG60,IF(AND(BG60&gt;0,BG60&gt;=SUM($L77:BG77)-SUM($L79:BF79)),SUM($L77:BG77)-SUM($L79:BF79),0)),0))</f>
        <v>3591090.9117913842</v>
      </c>
      <c r="BH79" s="13">
        <f>IF(условия!$E$74=1,BH77,IF(условия!$E$75=1,IF(AND(BH60&gt;0,BH60&lt;SUM($L77:BH77)-SUM($L79:BG79)),BH60,IF(AND(BH60&gt;0,BH60&gt;=SUM($L77:BH77)-SUM($L79:BG79)),SUM($L77:BH77)-SUM($L79:BG79),0)),0))</f>
        <v>2788724.4345374703</v>
      </c>
      <c r="BI79" s="13">
        <f>IF(условия!$E$74=1,BI77,IF(условия!$E$75=1,IF(AND(BI60&gt;0,BI60&lt;SUM($L77:BI77)-SUM($L79:BH79)),BI60,IF(AND(BI60&gt;0,BI60&gt;=SUM($L77:BI77)-SUM($L79:BH79)),SUM($L77:BI77)-SUM($L79:BH79),0)),0))</f>
        <v>1986542.0378562212</v>
      </c>
      <c r="BJ79" s="13">
        <f>IF(условия!$E$74=1,BJ77,IF(условия!$E$75=1,IF(AND(BJ60&gt;0,BJ60&lt;SUM($L77:BJ77)-SUM($L79:BI79)),BJ60,IF(AND(BJ60&gt;0,BJ60&gt;=SUM($L77:BJ77)-SUM($L79:BI79)),SUM($L77:BJ77)-SUM($L79:BI79),0)),0))</f>
        <v>1218313.8047775626</v>
      </c>
      <c r="BK79" s="13">
        <f>IF(условия!$E$74=1,BK77,IF(условия!$E$75=1,IF(AND(BK60&gt;0,BK60&lt;SUM($L77:BK77)-SUM($L79:BJ79)),BK60,IF(AND(BK60&gt;0,BK60&gt;=SUM($L77:BK77)-SUM($L79:BJ79)),SUM($L77:BK77)-SUM($L79:BJ79),0)),0))</f>
        <v>479545.57544305921</v>
      </c>
      <c r="BL79" s="13">
        <f>IF(условия!$E$74=1,BL77,IF(условия!$E$75=1,IF(AND(BL60&gt;0,BL60&lt;SUM($L77:BL77)-SUM($L79:BK79)),BL60,IF(AND(BL60&gt;0,BL60&gt;=SUM($L77:BL77)-SUM($L79:BK79)),SUM($L77:BL77)-SUM($L79:BK79),0)),0))</f>
        <v>0</v>
      </c>
      <c r="BM79" s="13">
        <f>IF(условия!$E$74=1,BM77,IF(условия!$E$75=1,IF(AND(BM60&gt;0,BM60&lt;SUM($L77:BM77)-SUM($L79:BL79)),BM60,IF(AND(BM60&gt;0,BM60&gt;=SUM($L77:BM77)-SUM($L79:BL79)),SUM($L77:BM77)-SUM($L79:BL79),0)),0))</f>
        <v>0</v>
      </c>
      <c r="BN79" s="13">
        <f>IF(условия!$E$74=1,BN77,IF(условия!$E$75=1,IF(AND(BN60&gt;0,BN60&lt;SUM($L77:BN77)-SUM($L79:BM79)),BN60,IF(AND(BN60&gt;0,BN60&gt;=SUM($L77:BN77)-SUM($L79:BM79)),SUM($L77:BN77)-SUM($L79:BM79),0)),0))</f>
        <v>0</v>
      </c>
      <c r="BO79" s="13">
        <f>IF(условия!$E$74=1,BO77,IF(условия!$E$75=1,IF(AND(BO60&gt;0,BO60&lt;SUM($L77:BO77)-SUM($L79:BN79)),BO60,IF(AND(BO60&gt;0,BO60&gt;=SUM($L77:BO77)-SUM($L79:BN79)),SUM($L77:BO77)-SUM($L79:BN79),0)),0))</f>
        <v>0</v>
      </c>
      <c r="BP79" s="13">
        <f>IF(условия!$E$74=1,BP77,IF(условия!$E$75=1,IF(AND(BP60&gt;0,BP60&lt;SUM($L77:BP77)-SUM($L79:BO79)),BP60,IF(AND(BP60&gt;0,BP60&gt;=SUM($L77:BP77)-SUM($L79:BO79)),SUM($L77:BP77)-SUM($L79:BO79),0)),0))</f>
        <v>0</v>
      </c>
      <c r="BQ79" s="13">
        <f>IF(условия!$E$74=1,BQ77,IF(условия!$E$75=1,IF(AND(BQ60&gt;0,BQ60&lt;SUM($L77:BQ77)-SUM($L79:BP79)),BQ60,IF(AND(BQ60&gt;0,BQ60&gt;=SUM($L77:BQ77)-SUM($L79:BP79)),SUM($L77:BQ77)-SUM($L79:BP79),0)),0))</f>
        <v>0</v>
      </c>
      <c r="BR79" s="13">
        <f>IF(условия!$E$74=1,BR77,IF(условия!$E$75=1,IF(AND(BR60&gt;0,BR60&lt;SUM($L77:BR77)-SUM($L79:BQ79)),BR60,IF(AND(BR60&gt;0,BR60&gt;=SUM($L77:BR77)-SUM($L79:BQ79)),SUM($L77:BR77)-SUM($L79:BQ79),0)),0))</f>
        <v>0</v>
      </c>
      <c r="BS79" s="13">
        <f>IF(условия!$E$74=1,BS77,IF(условия!$E$75=1,IF(AND(BS60&gt;0,BS60&lt;SUM($L77:BS77)-SUM($L79:BR79)),BS60,IF(AND(BS60&gt;0,BS60&gt;=SUM($L77:BS77)-SUM($L79:BR79)),SUM($L77:BS77)-SUM($L79:BR79),0)),0))</f>
        <v>0</v>
      </c>
      <c r="BT79" s="13">
        <f>IF(условия!$E$74=1,BT77,IF(условия!$E$75=1,IF(AND(BT60&gt;0,BT60&lt;SUM($L77:BT77)-SUM($L79:BS79)),BT60,IF(AND(BT60&gt;0,BT60&gt;=SUM($L77:BT77)-SUM($L79:BS79)),SUM($L77:BT77)-SUM($L79:BS79),0)),0))</f>
        <v>0</v>
      </c>
      <c r="BU79" s="13">
        <f>IF(условия!$E$74=1,BU77,IF(условия!$E$75=1,IF(AND(BU60&gt;0,BU60&lt;SUM($L77:BU77)-SUM($L79:BT79)),BU60,IF(AND(BU60&gt;0,BU60&gt;=SUM($L77:BU77)-SUM($L79:BT79)),SUM($L77:BU77)-SUM($L79:BT79),0)),0))</f>
        <v>0</v>
      </c>
      <c r="BV79" s="13">
        <f>IF(условия!$E$74=1,BV77,IF(условия!$E$75=1,IF(AND(BV60&gt;0,BV60&lt;SUM($L77:BV77)-SUM($L79:BU79)),BV60,IF(AND(BV60&gt;0,BV60&gt;=SUM($L77:BV77)-SUM($L79:BU79)),SUM($L77:BV77)-SUM($L79:BU79),0)),0))</f>
        <v>0</v>
      </c>
      <c r="BW79" s="13">
        <f>IF(условия!$E$74=1,BW77,IF(условия!$E$75=1,IF(AND(BW60&gt;0,BW60&lt;SUM($L77:BW77)-SUM($L79:BV79)),BW60,IF(AND(BW60&gt;0,BW60&gt;=SUM($L77:BW77)-SUM($L79:BV79)),SUM($L77:BW77)-SUM($L79:BV79),0)),0))</f>
        <v>0</v>
      </c>
      <c r="BX79" s="13">
        <f>IF(условия!$E$74=1,BX77,IF(условия!$E$75=1,IF(AND(BX60&gt;0,BX60&lt;SUM($L77:BX77)-SUM($L79:BW79)),BX60,IF(AND(BX60&gt;0,BX60&gt;=SUM($L77:BX77)-SUM($L79:BW79)),SUM($L77:BX77)-SUM($L79:BW79),0)),0))</f>
        <v>0</v>
      </c>
      <c r="BY79" s="13">
        <f>IF(условия!$E$74=1,BY77,IF(условия!$E$75=1,IF(AND(BY60&gt;0,BY60&lt;SUM($L77:BY77)-SUM($L79:BX79)),BY60,IF(AND(BY60&gt;0,BY60&gt;=SUM($L77:BY77)-SUM($L79:BX79)),SUM($L77:BY77)-SUM($L79:BX79),0)),0))</f>
        <v>0</v>
      </c>
      <c r="BZ79" s="13">
        <f>IF(условия!$E$74=1,BZ77,IF(условия!$E$75=1,IF(AND(BZ60&gt;0,BZ60&lt;SUM($L77:BZ77)-SUM($L79:BY79)),BZ60,IF(AND(BZ60&gt;0,BZ60&gt;=SUM($L77:BZ77)-SUM($L79:BY79)),SUM($L77:BZ77)-SUM($L79:BY79),0)),0))</f>
        <v>0</v>
      </c>
      <c r="CA79" s="13">
        <f>IF(условия!$E$74=1,CA77,IF(условия!$E$75=1,IF(AND(CA60&gt;0,CA60&lt;SUM($L77:CA77)-SUM($L79:BZ79)),CA60,IF(AND(CA60&gt;0,CA60&gt;=SUM($L77:CA77)-SUM($L79:BZ79)),SUM($L77:CA77)-SUM($L79:BZ79),0)),0))</f>
        <v>0</v>
      </c>
      <c r="CB79" s="13">
        <f>IF(условия!$E$74=1,CB77,IF(условия!$E$75=1,IF(AND(CB60&gt;0,CB60&lt;SUM($L77:CB77)-SUM($L79:CA79)),CB60,IF(AND(CB60&gt;0,CB60&gt;=SUM($L77:CB77)-SUM($L79:CA79)),SUM($L77:CB77)-SUM($L79:CA79),0)),0))</f>
        <v>0</v>
      </c>
      <c r="CC79" s="13">
        <f>IF(условия!$E$74=1,CC77,IF(условия!$E$75=1,IF(AND(CC60&gt;0,CC60&lt;SUM($L77:CC77)-SUM($L79:CB79)),CC60,IF(AND(CC60&gt;0,CC60&gt;=SUM($L77:CC77)-SUM($L79:CB79)),SUM($L77:CC77)-SUM($L79:CB79),0)),0))</f>
        <v>0</v>
      </c>
      <c r="CD79" s="13">
        <f>IF(условия!$E$74=1,CD77,IF(условия!$E$75=1,IF(AND(CD60&gt;0,CD60&lt;SUM($L77:CD77)-SUM($L79:CC79)),CD60,IF(AND(CD60&gt;0,CD60&gt;=SUM($L77:CD77)-SUM($L79:CC79)),SUM($L77:CD77)-SUM($L79:CC79),0)),0))</f>
        <v>0</v>
      </c>
      <c r="CE79" s="13">
        <f>IF(условия!$E$74=1,CE77,IF(условия!$E$75=1,IF(AND(CE60&gt;0,CE60&lt;SUM($L77:CE77)-SUM($L79:CD79)),CE60,IF(AND(CE60&gt;0,CE60&gt;=SUM($L77:CE77)-SUM($L79:CD79)),SUM($L77:CE77)-SUM($L79:CD79),0)),0))</f>
        <v>0</v>
      </c>
    </row>
    <row r="80" spans="3:83" s="65" customFormat="1" ht="12">
      <c r="C80" s="65" t="str">
        <f>IF(условия!$E$9=1,условия!$C$9,IF(условия!$E$10=1,условия!$C$10,IF(условия!$E$11=1,условия!$C$11,"")))</f>
        <v>ОСНО</v>
      </c>
      <c r="E80" s="66"/>
      <c r="F80" s="67"/>
      <c r="G80" s="67"/>
      <c r="H80" s="67"/>
      <c r="I80" s="66"/>
      <c r="J80" s="68"/>
      <c r="K80" s="69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</row>
    <row r="81" spans="3:83" s="3" customFormat="1">
      <c r="C81" s="3" t="str">
        <f>IF(условия!$E$9=1,условия!$C$9,IF(условия!$E$10=1,условия!$C$10,IF(условия!$E$11=1,условия!$C$11,"")))</f>
        <v>ОСНО</v>
      </c>
      <c r="E81" s="82" t="s">
        <v>56</v>
      </c>
      <c r="F81" s="82"/>
      <c r="G81" s="83"/>
      <c r="H81" s="82"/>
      <c r="I81" s="83"/>
      <c r="J81" s="84">
        <f>CE81</f>
        <v>699633882.09556675</v>
      </c>
      <c r="K81" s="93"/>
      <c r="L81" s="85">
        <f>L62+L73-L79</f>
        <v>224975000</v>
      </c>
      <c r="M81" s="85">
        <f t="shared" ref="M81:AR81" si="134">L81+M60+M73-M79</f>
        <v>162450000</v>
      </c>
      <c r="N81" s="85">
        <f t="shared" si="134"/>
        <v>99925000</v>
      </c>
      <c r="O81" s="85">
        <f t="shared" si="134"/>
        <v>97400000</v>
      </c>
      <c r="P81" s="85">
        <f t="shared" si="134"/>
        <v>84875000</v>
      </c>
      <c r="Q81" s="85">
        <f t="shared" si="134"/>
        <v>72350000</v>
      </c>
      <c r="R81" s="85">
        <f t="shared" si="134"/>
        <v>62825000</v>
      </c>
      <c r="S81" s="85">
        <f t="shared" si="134"/>
        <v>52800000</v>
      </c>
      <c r="T81" s="85">
        <f t="shared" si="134"/>
        <v>42775000</v>
      </c>
      <c r="U81" s="85">
        <f t="shared" si="134"/>
        <v>40550000</v>
      </c>
      <c r="V81" s="85">
        <f t="shared" si="134"/>
        <v>37025000</v>
      </c>
      <c r="W81" s="85">
        <f t="shared" si="134"/>
        <v>33500000</v>
      </c>
      <c r="X81" s="85">
        <f t="shared" si="134"/>
        <v>29975000</v>
      </c>
      <c r="Y81" s="85">
        <f t="shared" si="134"/>
        <v>26450000</v>
      </c>
      <c r="Z81" s="85">
        <f t="shared" si="134"/>
        <v>22925000</v>
      </c>
      <c r="AA81" s="85">
        <f t="shared" si="134"/>
        <v>19400000</v>
      </c>
      <c r="AB81" s="85">
        <f t="shared" si="134"/>
        <v>15875000</v>
      </c>
      <c r="AC81" s="85">
        <f t="shared" si="134"/>
        <v>12350000</v>
      </c>
      <c r="AD81" s="85">
        <f t="shared" si="134"/>
        <v>8825000</v>
      </c>
      <c r="AE81" s="85">
        <f t="shared" si="134"/>
        <v>5300000</v>
      </c>
      <c r="AF81" s="85">
        <f t="shared" si="134"/>
        <v>1775000</v>
      </c>
      <c r="AG81" s="85">
        <f t="shared" si="134"/>
        <v>0</v>
      </c>
      <c r="AH81" s="85">
        <f t="shared" si="134"/>
        <v>0</v>
      </c>
      <c r="AI81" s="85">
        <f t="shared" si="134"/>
        <v>0</v>
      </c>
      <c r="AJ81" s="85">
        <f t="shared" si="134"/>
        <v>0</v>
      </c>
      <c r="AK81" s="85">
        <f t="shared" si="134"/>
        <v>0</v>
      </c>
      <c r="AL81" s="85">
        <f t="shared" si="134"/>
        <v>0</v>
      </c>
      <c r="AM81" s="85">
        <f t="shared" si="134"/>
        <v>0</v>
      </c>
      <c r="AN81" s="85">
        <f t="shared" si="134"/>
        <v>0</v>
      </c>
      <c r="AO81" s="85">
        <f t="shared" si="134"/>
        <v>0</v>
      </c>
      <c r="AP81" s="85">
        <f t="shared" si="134"/>
        <v>0</v>
      </c>
      <c r="AQ81" s="85">
        <f t="shared" si="134"/>
        <v>0</v>
      </c>
      <c r="AR81" s="85">
        <f t="shared" si="134"/>
        <v>0</v>
      </c>
      <c r="AS81" s="85">
        <f t="shared" ref="AS81:BX81" si="135">AR81+AS60+AS73-AS79</f>
        <v>0</v>
      </c>
      <c r="AT81" s="85">
        <f t="shared" si="135"/>
        <v>0</v>
      </c>
      <c r="AU81" s="85">
        <f t="shared" si="135"/>
        <v>0</v>
      </c>
      <c r="AV81" s="85">
        <f t="shared" si="135"/>
        <v>0</v>
      </c>
      <c r="AW81" s="85">
        <f t="shared" si="135"/>
        <v>0</v>
      </c>
      <c r="AX81" s="85">
        <f t="shared" si="135"/>
        <v>0</v>
      </c>
      <c r="AY81" s="85">
        <f t="shared" si="135"/>
        <v>0</v>
      </c>
      <c r="AZ81" s="85">
        <f t="shared" si="135"/>
        <v>0</v>
      </c>
      <c r="BA81" s="85">
        <f t="shared" si="135"/>
        <v>0</v>
      </c>
      <c r="BB81" s="85">
        <f t="shared" si="135"/>
        <v>0</v>
      </c>
      <c r="BC81" s="85">
        <f t="shared" si="135"/>
        <v>0</v>
      </c>
      <c r="BD81" s="85">
        <f t="shared" si="135"/>
        <v>0</v>
      </c>
      <c r="BE81" s="85">
        <f t="shared" si="135"/>
        <v>0</v>
      </c>
      <c r="BF81" s="85">
        <f t="shared" si="135"/>
        <v>0</v>
      </c>
      <c r="BG81" s="85">
        <f t="shared" si="135"/>
        <v>0</v>
      </c>
      <c r="BH81" s="85">
        <f t="shared" si="135"/>
        <v>0</v>
      </c>
      <c r="BI81" s="85">
        <f t="shared" si="135"/>
        <v>0</v>
      </c>
      <c r="BJ81" s="85">
        <f t="shared" si="135"/>
        <v>0</v>
      </c>
      <c r="BK81" s="85">
        <f t="shared" si="135"/>
        <v>22953595.843703359</v>
      </c>
      <c r="BL81" s="85">
        <f t="shared" si="135"/>
        <v>90639749.033131972</v>
      </c>
      <c r="BM81" s="85">
        <f t="shared" si="135"/>
        <v>154676200.97931394</v>
      </c>
      <c r="BN81" s="85">
        <f t="shared" si="135"/>
        <v>215158860.79733789</v>
      </c>
      <c r="BO81" s="85">
        <f t="shared" si="135"/>
        <v>272087728.48720378</v>
      </c>
      <c r="BP81" s="85">
        <f t="shared" si="135"/>
        <v>325462804.04891169</v>
      </c>
      <c r="BQ81" s="85">
        <f t="shared" si="135"/>
        <v>375284087.48246157</v>
      </c>
      <c r="BR81" s="85">
        <f t="shared" si="135"/>
        <v>421551578.78785342</v>
      </c>
      <c r="BS81" s="85">
        <f t="shared" si="135"/>
        <v>464265277.96508723</v>
      </c>
      <c r="BT81" s="85">
        <f t="shared" si="135"/>
        <v>503425185.01416302</v>
      </c>
      <c r="BU81" s="85">
        <f t="shared" si="135"/>
        <v>539031299.93508077</v>
      </c>
      <c r="BV81" s="85">
        <f t="shared" si="135"/>
        <v>571083622.72784054</v>
      </c>
      <c r="BW81" s="85">
        <f t="shared" si="135"/>
        <v>599582153.39244223</v>
      </c>
      <c r="BX81" s="85">
        <f t="shared" si="135"/>
        <v>624526891.92888594</v>
      </c>
      <c r="BY81" s="85">
        <f t="shared" ref="BY81:CE81" si="136">BX81+BY60+BY73-BY79</f>
        <v>645917838.33717155</v>
      </c>
      <c r="BZ81" s="85">
        <f t="shared" si="136"/>
        <v>663754992.6172992</v>
      </c>
      <c r="CA81" s="85">
        <f t="shared" si="136"/>
        <v>678038354.76926875</v>
      </c>
      <c r="CB81" s="85">
        <f t="shared" si="136"/>
        <v>688767924.79308033</v>
      </c>
      <c r="CC81" s="85">
        <f t="shared" si="136"/>
        <v>695943702.68873382</v>
      </c>
      <c r="CD81" s="85">
        <f t="shared" si="136"/>
        <v>699565688.45622933</v>
      </c>
      <c r="CE81" s="85">
        <f t="shared" si="136"/>
        <v>699633882.09556675</v>
      </c>
    </row>
    <row r="82" spans="3:83" s="65" customFormat="1" ht="12">
      <c r="C82" s="65" t="str">
        <f>IF(условия!$E$9=1,условия!$C$9,IF(условия!$E$10=1,условия!$C$10,IF(условия!$E$11=1,условия!$C$11,"")))</f>
        <v>ОСНО</v>
      </c>
      <c r="E82" s="66"/>
      <c r="F82" s="67"/>
      <c r="G82" s="67"/>
      <c r="H82" s="67"/>
      <c r="I82" s="66"/>
      <c r="J82" s="68"/>
      <c r="K82" s="69"/>
      <c r="L82" s="92">
        <f>IF(SUM($K82:K82)&gt;0,0,IF(L$7&lt;=условия!$E$17,0,IF(AND(K$81&lt;$J$57,L$81&gt;=$J$57),1,0)))</f>
        <v>0</v>
      </c>
      <c r="M82" s="92">
        <f>IF(SUM($K82:L82)&gt;0,0,IF(M$7&lt;=условия!$E$17,0,IF(AND(L$81&lt;$J$57,M$81&gt;=$J$57),1,0)))</f>
        <v>0</v>
      </c>
      <c r="N82" s="92">
        <f>IF(SUM($K82:M82)&gt;0,0,IF(N$7&lt;=условия!$E$17,0,IF(AND(M$81&lt;$J$57,N$81&gt;=$J$57),1,0)))</f>
        <v>0</v>
      </c>
      <c r="O82" s="92">
        <f>IF(SUM($K82:N82)&gt;0,0,IF(O$7&lt;=условия!$E$17,0,IF(AND(N$81&lt;$J$57,O$81&gt;=$J$57),1,0)))</f>
        <v>0</v>
      </c>
      <c r="P82" s="92">
        <f>IF(SUM($K82:O82)&gt;0,0,IF(P$7&lt;=условия!$E$17,0,IF(AND(O$81&lt;$J$57,P$81&gt;=$J$57),1,0)))</f>
        <v>0</v>
      </c>
      <c r="Q82" s="92">
        <f>IF(SUM($K82:P82)&gt;0,0,IF(Q$7&lt;=условия!$E$17,0,IF(AND(P$81&lt;$J$57,Q$81&gt;=$J$57),1,0)))</f>
        <v>0</v>
      </c>
      <c r="R82" s="92">
        <f>IF(SUM($K82:Q82)&gt;0,0,IF(R$7&lt;=условия!$E$17,0,IF(AND(Q$81&lt;$J$57,R$81&gt;=$J$57),1,0)))</f>
        <v>0</v>
      </c>
      <c r="S82" s="92">
        <f>IF(SUM($K82:R82)&gt;0,0,IF(S$7&lt;=условия!$E$17,0,IF(AND(R$81&lt;$J$57,S$81&gt;=$J$57),1,0)))</f>
        <v>0</v>
      </c>
      <c r="T82" s="92">
        <f>IF(SUM($K82:S82)&gt;0,0,IF(T$7&lt;=условия!$E$17,0,IF(AND(S$81&lt;$J$57,T$81&gt;=$J$57),1,0)))</f>
        <v>0</v>
      </c>
      <c r="U82" s="92">
        <f>IF(SUM($K82:T82)&gt;0,0,IF(U$7&lt;=условия!$E$17,0,IF(AND(T$81&lt;$J$57,U$81&gt;=$J$57),1,0)))</f>
        <v>0</v>
      </c>
      <c r="V82" s="92">
        <f>IF(SUM($K82:U82)&gt;0,0,IF(V$7&lt;=условия!$E$17,0,IF(AND(U$81&lt;$J$57,V$81&gt;=$J$57),1,0)))</f>
        <v>0</v>
      </c>
      <c r="W82" s="92">
        <f>IF(SUM($K82:V82)&gt;0,0,IF(W$7&lt;=условия!$E$17,0,IF(AND(V$81&lt;$J$57,W$81&gt;=$J$57),1,0)))</f>
        <v>0</v>
      </c>
      <c r="X82" s="92">
        <f>IF(SUM($K82:W82)&gt;0,0,IF(X$7&lt;=условия!$E$17,0,IF(AND(W$81&lt;$J$57,X$81&gt;=$J$57),1,0)))</f>
        <v>0</v>
      </c>
      <c r="Y82" s="92">
        <f>IF(SUM($K82:X82)&gt;0,0,IF(Y$7&lt;=условия!$E$17,0,IF(AND(X$81&lt;$J$57,Y$81&gt;=$J$57),1,0)))</f>
        <v>0</v>
      </c>
      <c r="Z82" s="92">
        <f>IF(SUM($K82:Y82)&gt;0,0,IF(Z$7&lt;=условия!$E$17,0,IF(AND(Y$81&lt;$J$57,Z$81&gt;=$J$57),1,0)))</f>
        <v>0</v>
      </c>
      <c r="AA82" s="92">
        <f>IF(SUM($K82:Z82)&gt;0,0,IF(AA$7&lt;=условия!$E$17,0,IF(AND(Z$81&lt;$J$57,AA$81&gt;=$J$57),1,0)))</f>
        <v>0</v>
      </c>
      <c r="AB82" s="92">
        <f>IF(SUM($K82:AA82)&gt;0,0,IF(AB$7&lt;=условия!$E$17,0,IF(AND(AA$81&lt;$J$57,AB$81&gt;=$J$57),1,0)))</f>
        <v>0</v>
      </c>
      <c r="AC82" s="92">
        <f>IF(SUM($K82:AB82)&gt;0,0,IF(AC$7&lt;=условия!$E$17,0,IF(AND(AB$81&lt;$J$57,AC$81&gt;=$J$57),1,0)))</f>
        <v>0</v>
      </c>
      <c r="AD82" s="92">
        <f>IF(SUM($K82:AC82)&gt;0,0,IF(AD$7&lt;=условия!$E$17,0,IF(AND(AC$81&lt;$J$57,AD$81&gt;=$J$57),1,0)))</f>
        <v>0</v>
      </c>
      <c r="AE82" s="92">
        <f>IF(SUM($K82:AD82)&gt;0,0,IF(AE$7&lt;=условия!$E$17,0,IF(AND(AD$81&lt;$J$57,AE$81&gt;=$J$57),1,0)))</f>
        <v>0</v>
      </c>
      <c r="AF82" s="92">
        <f>IF(SUM($K82:AE82)&gt;0,0,IF(AF$7&lt;=условия!$E$17,0,IF(AND(AE$81&lt;$J$57,AF$81&gt;=$J$57),1,0)))</f>
        <v>0</v>
      </c>
      <c r="AG82" s="92">
        <f>IF(SUM($K82:AF82)&gt;0,0,IF(AG$7&lt;=условия!$E$17,0,IF(AND(AF$81&lt;$J$57,AG$81&gt;=$J$57),1,0)))</f>
        <v>0</v>
      </c>
      <c r="AH82" s="92">
        <f>IF(SUM($K82:AG82)&gt;0,0,IF(AH$7&lt;=условия!$E$17,0,IF(AND(AG$81&lt;$J$57,AH$81&gt;=$J$57),1,0)))</f>
        <v>0</v>
      </c>
      <c r="AI82" s="92">
        <f>IF(SUM($K82:AH82)&gt;0,0,IF(AI$7&lt;=условия!$E$17,0,IF(AND(AH$81&lt;$J$57,AI$81&gt;=$J$57),1,0)))</f>
        <v>0</v>
      </c>
      <c r="AJ82" s="92">
        <f>IF(SUM($K82:AI82)&gt;0,0,IF(AJ$7&lt;=условия!$E$17,0,IF(AND(AI$81&lt;$J$57,AJ$81&gt;=$J$57),1,0)))</f>
        <v>0</v>
      </c>
      <c r="AK82" s="92">
        <f>IF(SUM($K82:AJ82)&gt;0,0,IF(AK$7&lt;=условия!$E$17,0,IF(AND(AJ$81&lt;$J$57,AK$81&gt;=$J$57),1,0)))</f>
        <v>0</v>
      </c>
      <c r="AL82" s="92">
        <f>IF(SUM($K82:AK82)&gt;0,0,IF(AL$7&lt;=условия!$E$17,0,IF(AND(AK$81&lt;$J$57,AL$81&gt;=$J$57),1,0)))</f>
        <v>0</v>
      </c>
      <c r="AM82" s="92">
        <f>IF(SUM($K82:AL82)&gt;0,0,IF(AM$7&lt;=условия!$E$17,0,IF(AND(AL$81&lt;$J$57,AM$81&gt;=$J$57),1,0)))</f>
        <v>0</v>
      </c>
      <c r="AN82" s="92">
        <f>IF(SUM($K82:AM82)&gt;0,0,IF(AN$7&lt;=условия!$E$17,0,IF(AND(AM$81&lt;$J$57,AN$81&gt;=$J$57),1,0)))</f>
        <v>0</v>
      </c>
      <c r="AO82" s="92">
        <f>IF(SUM($K82:AN82)&gt;0,0,IF(AO$7&lt;=условия!$E$17,0,IF(AND(AN$81&lt;$J$57,AO$81&gt;=$J$57),1,0)))</f>
        <v>0</v>
      </c>
      <c r="AP82" s="92">
        <f>IF(SUM($K82:AO82)&gt;0,0,IF(AP$7&lt;=условия!$E$17,0,IF(AND(AO$81&lt;$J$57,AP$81&gt;=$J$57),1,0)))</f>
        <v>0</v>
      </c>
      <c r="AQ82" s="92">
        <f>IF(SUM($K82:AP82)&gt;0,0,IF(AQ$7&lt;=условия!$E$17,0,IF(AND(AP$81&lt;$J$57,AQ$81&gt;=$J$57),1,0)))</f>
        <v>0</v>
      </c>
      <c r="AR82" s="92">
        <f>IF(SUM($K82:AQ82)&gt;0,0,IF(AR$7&lt;=условия!$E$17,0,IF(AND(AQ$81&lt;$J$57,AR$81&gt;=$J$57),1,0)))</f>
        <v>0</v>
      </c>
      <c r="AS82" s="92">
        <f>IF(SUM($K82:AR82)&gt;0,0,IF(AS$7&lt;=условия!$E$17,0,IF(AND(AR$81&lt;$J$57,AS$81&gt;=$J$57),1,0)))</f>
        <v>0</v>
      </c>
      <c r="AT82" s="92">
        <f>IF(SUM($K82:AS82)&gt;0,0,IF(AT$7&lt;=условия!$E$17,0,IF(AND(AS$81&lt;$J$57,AT$81&gt;=$J$57),1,0)))</f>
        <v>0</v>
      </c>
      <c r="AU82" s="92">
        <f>IF(SUM($K82:AT82)&gt;0,0,IF(AU$7&lt;=условия!$E$17,0,IF(AND(AT$81&lt;$J$57,AU$81&gt;=$J$57),1,0)))</f>
        <v>0</v>
      </c>
      <c r="AV82" s="92">
        <f>IF(SUM($K82:AU82)&gt;0,0,IF(AV$7&lt;=условия!$E$17,0,IF(AND(AU$81&lt;$J$57,AV$81&gt;=$J$57),1,0)))</f>
        <v>0</v>
      </c>
      <c r="AW82" s="92">
        <f>IF(SUM($K82:AV82)&gt;0,0,IF(AW$7&lt;=условия!$E$17,0,IF(AND(AV$81&lt;$J$57,AW$81&gt;=$J$57),1,0)))</f>
        <v>0</v>
      </c>
      <c r="AX82" s="92">
        <f>IF(SUM($K82:AW82)&gt;0,0,IF(AX$7&lt;=условия!$E$17,0,IF(AND(AW$81&lt;$J$57,AX$81&gt;=$J$57),1,0)))</f>
        <v>0</v>
      </c>
      <c r="AY82" s="92">
        <f>IF(SUM($K82:AX82)&gt;0,0,IF(AY$7&lt;=условия!$E$17,0,IF(AND(AX$81&lt;$J$57,AY$81&gt;=$J$57),1,0)))</f>
        <v>0</v>
      </c>
      <c r="AZ82" s="92">
        <f>IF(SUM($K82:AY82)&gt;0,0,IF(AZ$7&lt;=условия!$E$17,0,IF(AND(AY$81&lt;$J$57,AZ$81&gt;=$J$57),1,0)))</f>
        <v>0</v>
      </c>
      <c r="BA82" s="92">
        <f>IF(SUM($K82:AZ82)&gt;0,0,IF(BA$7&lt;=условия!$E$17,0,IF(AND(AZ$81&lt;$J$57,BA$81&gt;=$J$57),1,0)))</f>
        <v>0</v>
      </c>
      <c r="BB82" s="92">
        <f>IF(SUM($K82:BA82)&gt;0,0,IF(BB$7&lt;=условия!$E$17,0,IF(AND(BA$81&lt;$J$57,BB$81&gt;=$J$57),1,0)))</f>
        <v>0</v>
      </c>
      <c r="BC82" s="92">
        <f>IF(SUM($K82:BB82)&gt;0,0,IF(BC$7&lt;=условия!$E$17,0,IF(AND(BB$81&lt;$J$57,BC$81&gt;=$J$57),1,0)))</f>
        <v>0</v>
      </c>
      <c r="BD82" s="92">
        <f>IF(SUM($K82:BC82)&gt;0,0,IF(BD$7&lt;=условия!$E$17,0,IF(AND(BC$81&lt;$J$57,BD$81&gt;=$J$57),1,0)))</f>
        <v>0</v>
      </c>
      <c r="BE82" s="92">
        <f>IF(SUM($K82:BD82)&gt;0,0,IF(BE$7&lt;=условия!$E$17,0,IF(AND(BD$81&lt;$J$57,BE$81&gt;=$J$57),1,0)))</f>
        <v>0</v>
      </c>
      <c r="BF82" s="92">
        <f>IF(SUM($K82:BE82)&gt;0,0,IF(BF$7&lt;=условия!$E$17,0,IF(AND(BE$81&lt;$J$57,BF$81&gt;=$J$57),1,0)))</f>
        <v>0</v>
      </c>
      <c r="BG82" s="92">
        <f>IF(SUM($K82:BF82)&gt;0,0,IF(BG$7&lt;=условия!$E$17,0,IF(AND(BF$81&lt;$J$57,BG$81&gt;=$J$57),1,0)))</f>
        <v>0</v>
      </c>
      <c r="BH82" s="92">
        <f>IF(SUM($K82:BG82)&gt;0,0,IF(BH$7&lt;=условия!$E$17,0,IF(AND(BG$81&lt;$J$57,BH$81&gt;=$J$57),1,0)))</f>
        <v>0</v>
      </c>
      <c r="BI82" s="92">
        <f>IF(SUM($K82:BH82)&gt;0,0,IF(BI$7&lt;=условия!$E$17,0,IF(AND(BH$81&lt;$J$57,BI$81&gt;=$J$57),1,0)))</f>
        <v>0</v>
      </c>
      <c r="BJ82" s="92">
        <f>IF(SUM($K82:BI82)&gt;0,0,IF(BJ$7&lt;=условия!$E$17,0,IF(AND(BI$81&lt;$J$57,BJ$81&gt;=$J$57),1,0)))</f>
        <v>0</v>
      </c>
      <c r="BK82" s="92">
        <f>IF(SUM($K82:BJ82)&gt;0,0,IF(BK$7&lt;=условия!$E$17,0,IF(AND(BJ$81&lt;$J$57,BK$81&gt;=$J$57),1,0)))</f>
        <v>0</v>
      </c>
      <c r="BL82" s="92">
        <f>IF(SUM($K82:BK82)&gt;0,0,IF(BL$7&lt;=условия!$E$17,0,IF(AND(BK$81&lt;$J$57,BL$81&gt;=$J$57),1,0)))</f>
        <v>0</v>
      </c>
      <c r="BM82" s="92">
        <f>IF(SUM($K82:BL82)&gt;0,0,IF(BM$7&lt;=условия!$E$17,0,IF(AND(BL$81&lt;$J$57,BM$81&gt;=$J$57),1,0)))</f>
        <v>0</v>
      </c>
      <c r="BN82" s="92">
        <f>IF(SUM($K82:BM82)&gt;0,0,IF(BN$7&lt;=условия!$E$17,0,IF(AND(BM$81&lt;$J$57,BN$81&gt;=$J$57),1,0)))</f>
        <v>0</v>
      </c>
      <c r="BO82" s="92">
        <f>IF(SUM($K82:BN82)&gt;0,0,IF(BO$7&lt;=условия!$E$17,0,IF(AND(BN$81&lt;$J$57,BO$81&gt;=$J$57),1,0)))</f>
        <v>0</v>
      </c>
      <c r="BP82" s="92">
        <f>IF(SUM($K82:BO82)&gt;0,0,IF(BP$7&lt;=условия!$E$17,0,IF(AND(BO$81&lt;$J$57,BP$81&gt;=$J$57),1,0)))</f>
        <v>1</v>
      </c>
      <c r="BQ82" s="92">
        <f>IF(SUM($K82:BP82)&gt;0,0,IF(BQ$7&lt;=условия!$E$17,0,IF(AND(BP$81&lt;$J$57,BQ$81&gt;=$J$57),1,0)))</f>
        <v>0</v>
      </c>
      <c r="BR82" s="92">
        <f>IF(SUM($K82:BQ82)&gt;0,0,IF(BR$7&lt;=условия!$E$17,0,IF(AND(BQ$81&lt;$J$57,BR$81&gt;=$J$57),1,0)))</f>
        <v>0</v>
      </c>
      <c r="BS82" s="92">
        <f>IF(SUM($K82:BR82)&gt;0,0,IF(BS$7&lt;=условия!$E$17,0,IF(AND(BR$81&lt;$J$57,BS$81&gt;=$J$57),1,0)))</f>
        <v>0</v>
      </c>
      <c r="BT82" s="92">
        <f>IF(SUM($K82:BS82)&gt;0,0,IF(BT$7&lt;=условия!$E$17,0,IF(AND(BS$81&lt;$J$57,BT$81&gt;=$J$57),1,0)))</f>
        <v>0</v>
      </c>
      <c r="BU82" s="92">
        <f>IF(SUM($K82:BT82)&gt;0,0,IF(BU$7&lt;=условия!$E$17,0,IF(AND(BT$81&lt;$J$57,BU$81&gt;=$J$57),1,0)))</f>
        <v>0</v>
      </c>
      <c r="BV82" s="92">
        <f>IF(SUM($K82:BU82)&gt;0,0,IF(BV$7&lt;=условия!$E$17,0,IF(AND(BU$81&lt;$J$57,BV$81&gt;=$J$57),1,0)))</f>
        <v>0</v>
      </c>
      <c r="BW82" s="92">
        <f>IF(SUM($K82:BV82)&gt;0,0,IF(BW$7&lt;=условия!$E$17,0,IF(AND(BV$81&lt;$J$57,BW$81&gt;=$J$57),1,0)))</f>
        <v>0</v>
      </c>
      <c r="BX82" s="92">
        <f>IF(SUM($K82:BW82)&gt;0,0,IF(BX$7&lt;=условия!$E$17,0,IF(AND(BW$81&lt;$J$57,BX$81&gt;=$J$57),1,0)))</f>
        <v>0</v>
      </c>
      <c r="BY82" s="92">
        <f>IF(SUM($K82:BX82)&gt;0,0,IF(BY$7&lt;=условия!$E$17,0,IF(AND(BX$81&lt;$J$57,BY$81&gt;=$J$57),1,0)))</f>
        <v>0</v>
      </c>
      <c r="BZ82" s="92">
        <f>IF(SUM($K82:BY82)&gt;0,0,IF(BZ$7&lt;=условия!$E$17,0,IF(AND(BY$81&lt;$J$57,BZ$81&gt;=$J$57),1,0)))</f>
        <v>0</v>
      </c>
      <c r="CA82" s="92">
        <f>IF(SUM($K82:BZ82)&gt;0,0,IF(CA$7&lt;=условия!$E$17,0,IF(AND(BZ$81&lt;$J$57,CA$81&gt;=$J$57),1,0)))</f>
        <v>0</v>
      </c>
      <c r="CB82" s="92">
        <f>IF(SUM($K82:CA82)&gt;0,0,IF(CB$7&lt;=условия!$E$17,0,IF(AND(CA$81&lt;$J$57,CB$81&gt;=$J$57),1,0)))</f>
        <v>0</v>
      </c>
      <c r="CC82" s="92">
        <f>IF(SUM($K82:CB82)&gt;0,0,IF(CC$7&lt;=условия!$E$17,0,IF(AND(CB$81&lt;$J$57,CC$81&gt;=$J$57),1,0)))</f>
        <v>0</v>
      </c>
      <c r="CD82" s="92">
        <f>IF(SUM($K82:CC82)&gt;0,0,IF(CD$7&lt;=условия!$E$17,0,IF(AND(CC$81&lt;$J$57,CD$81&gt;=$J$57),1,0)))</f>
        <v>0</v>
      </c>
      <c r="CE82" s="92">
        <f>IF(SUM($K82:CD82)&gt;0,0,IF(CE$7&lt;=условия!$E$17,0,IF(AND(CD$81&lt;$J$57,CE$81&gt;=$J$57),1,0)))</f>
        <v>0</v>
      </c>
    </row>
    <row r="83" spans="3:83" ht="12">
      <c r="C83" s="4" t="str">
        <f>IF(условия!$E$9=1,условия!$C$9,IF(условия!$E$10=1,условия!$C$10,IF(условия!$E$11=1,условия!$C$11,"")))</f>
        <v>ОСНО</v>
      </c>
      <c r="E83" s="15" t="s">
        <v>57</v>
      </c>
      <c r="F83" s="48"/>
      <c r="G83" s="48"/>
      <c r="H83" s="48"/>
      <c r="I83" s="15"/>
      <c r="J83" s="52">
        <f>CE83</f>
        <v>0</v>
      </c>
      <c r="L83" s="11">
        <f>SUM($L77:L77)-SUM($L79:L79)</f>
        <v>0</v>
      </c>
      <c r="M83" s="11">
        <f>SUM($L77:M77)-SUM($L79:M79)</f>
        <v>0</v>
      </c>
      <c r="N83" s="11">
        <f>SUM($L77:N77)-SUM($L79:N79)</f>
        <v>0</v>
      </c>
      <c r="O83" s="11">
        <f>SUM($L77:O77)-SUM($L79:O79)</f>
        <v>0</v>
      </c>
      <c r="P83" s="11">
        <f>SUM($L77:P77)-SUM($L79:P79)</f>
        <v>0</v>
      </c>
      <c r="Q83" s="11">
        <f>SUM($L77:Q77)-SUM($L79:Q79)</f>
        <v>0</v>
      </c>
      <c r="R83" s="11">
        <f>SUM($L77:R77)-SUM($L79:R79)</f>
        <v>0</v>
      </c>
      <c r="S83" s="11">
        <f>SUM($L77:S77)-SUM($L79:S79)</f>
        <v>0</v>
      </c>
      <c r="T83" s="11">
        <f>SUM($L77:T77)-SUM($L79:T79)</f>
        <v>0</v>
      </c>
      <c r="U83" s="11">
        <f>SUM($L77:U77)-SUM($L79:U79)</f>
        <v>0</v>
      </c>
      <c r="V83" s="11">
        <f>SUM($L77:V77)-SUM($L79:V79)</f>
        <v>0</v>
      </c>
      <c r="W83" s="11">
        <f>SUM($L77:W77)-SUM($L79:W79)</f>
        <v>0</v>
      </c>
      <c r="X83" s="11">
        <f>SUM($L77:X77)-SUM($L79:X79)</f>
        <v>0</v>
      </c>
      <c r="Y83" s="11">
        <f>SUM($L77:Y77)-SUM($L79:Y79)</f>
        <v>0</v>
      </c>
      <c r="Z83" s="11">
        <f>SUM($L77:Z77)-SUM($L79:Z79)</f>
        <v>0</v>
      </c>
      <c r="AA83" s="11">
        <f>SUM($L77:AA77)-SUM($L79:AA79)</f>
        <v>0</v>
      </c>
      <c r="AB83" s="11">
        <f>SUM($L77:AB77)-SUM($L79:AB79)</f>
        <v>0</v>
      </c>
      <c r="AC83" s="11">
        <f>SUM($L77:AC77)-SUM($L79:AC79)</f>
        <v>0</v>
      </c>
      <c r="AD83" s="11">
        <f>SUM($L77:AD77)-SUM($L79:AD79)</f>
        <v>0</v>
      </c>
      <c r="AE83" s="11">
        <f>SUM($L77:AE77)-SUM($L79:AE79)</f>
        <v>0</v>
      </c>
      <c r="AF83" s="11">
        <f>SUM($L77:AF77)-SUM($L79:AF79)</f>
        <v>0</v>
      </c>
      <c r="AG83" s="11">
        <f>SUM($L77:AG77)-SUM($L79:AG79)</f>
        <v>17500</v>
      </c>
      <c r="AH83" s="11">
        <f>SUM($L77:AH77)-SUM($L79:AH79)</f>
        <v>70250</v>
      </c>
      <c r="AI83" s="11">
        <f>SUM($L77:AI77)-SUM($L79:AI79)</f>
        <v>1942194.2338888887</v>
      </c>
      <c r="AJ83" s="11">
        <f>SUM($L77:AJ77)-SUM($L79:AJ79)</f>
        <v>4995994.2942592595</v>
      </c>
      <c r="AK83" s="11">
        <f>SUM($L77:AK77)-SUM($L79:AK79)</f>
        <v>9015782.2687980253</v>
      </c>
      <c r="AL83" s="11">
        <f>SUM($L77:AL77)-SUM($L79:AL79)</f>
        <v>13926688.449426476</v>
      </c>
      <c r="AM83" s="11">
        <f>SUM($L77:AM77)-SUM($L79:AM79)</f>
        <v>19653843.128065899</v>
      </c>
      <c r="AN83" s="11">
        <f>SUM($L77:AN77)-SUM($L79:AN79)</f>
        <v>26122376.596637581</v>
      </c>
      <c r="AO83" s="11">
        <f>SUM($L77:AO77)-SUM($L79:AO79)</f>
        <v>33257419.147062808</v>
      </c>
      <c r="AP83" s="11">
        <f>SUM($L77:AP77)-SUM($L79:AP79)</f>
        <v>40984982.541340634</v>
      </c>
      <c r="AQ83" s="11">
        <f>SUM($L77:AQ77)-SUM($L79:AQ79)</f>
        <v>49231683.758984804</v>
      </c>
      <c r="AR83" s="11">
        <f>SUM($L77:AR77)-SUM($L79:AR79)</f>
        <v>57924286.545550041</v>
      </c>
      <c r="AS83" s="11">
        <f>SUM($L77:AS77)-SUM($L79:AS79)</f>
        <v>66994701.11909996</v>
      </c>
      <c r="AT83" s="11">
        <f>SUM($L77:AT77)-SUM($L79:AT79)</f>
        <v>76369140.543928713</v>
      </c>
      <c r="AU83" s="11">
        <f>SUM($L77:AU77)-SUM($L79:AU79)</f>
        <v>85974798.791535184</v>
      </c>
      <c r="AV83" s="11">
        <f>SUM($L77:AV77)-SUM($L79:AV79)</f>
        <v>95739015.44547528</v>
      </c>
      <c r="AW83" s="11">
        <f>SUM($L77:AW77)-SUM($L79:AW79)</f>
        <v>105589275.4101378</v>
      </c>
      <c r="AX83" s="11">
        <f>SUM($L77:AX77)-SUM($L79:AX79)</f>
        <v>0</v>
      </c>
      <c r="AY83" s="11">
        <f>SUM($L77:AY77)-SUM($L79:AY79)</f>
        <v>0</v>
      </c>
      <c r="AZ83" s="11">
        <f>SUM($L77:AZ77)-SUM($L79:AZ79)</f>
        <v>0</v>
      </c>
      <c r="BA83" s="11">
        <f>SUM($L77:BA77)-SUM($L79:BA79)</f>
        <v>0</v>
      </c>
      <c r="BB83" s="11">
        <f>SUM($L77:BB77)-SUM($L79:BB79)</f>
        <v>0</v>
      </c>
      <c r="BC83" s="11">
        <f>SUM($L77:BC77)-SUM($L79:BC79)</f>
        <v>0</v>
      </c>
      <c r="BD83" s="11">
        <f>SUM($L77:BD77)-SUM($L79:BD79)</f>
        <v>0</v>
      </c>
      <c r="BE83" s="11">
        <f>SUM($L77:BE77)-SUM($L79:BE79)</f>
        <v>0</v>
      </c>
      <c r="BF83" s="11">
        <f>SUM($L77:BF77)-SUM($L79:BF79)</f>
        <v>0</v>
      </c>
      <c r="BG83" s="11">
        <f>SUM($L77:BG77)-SUM($L79:BG79)</f>
        <v>0</v>
      </c>
      <c r="BH83" s="11">
        <f>SUM($L77:BH77)-SUM($L79:BH79)</f>
        <v>0</v>
      </c>
      <c r="BI83" s="11">
        <f>SUM($L77:BI77)-SUM($L79:BI79)</f>
        <v>0</v>
      </c>
      <c r="BJ83" s="11">
        <f>SUM($L77:BJ77)-SUM($L79:BJ79)</f>
        <v>0</v>
      </c>
      <c r="BK83" s="11">
        <f>SUM($L77:BK77)-SUM($L79:BK79)</f>
        <v>0</v>
      </c>
      <c r="BL83" s="11">
        <f>SUM($L77:BL77)-SUM($L79:BL79)</f>
        <v>0</v>
      </c>
      <c r="BM83" s="11">
        <f>SUM($L77:BM77)-SUM($L79:BM79)</f>
        <v>0</v>
      </c>
      <c r="BN83" s="11">
        <f>SUM($L77:BN77)-SUM($L79:BN79)</f>
        <v>0</v>
      </c>
      <c r="BO83" s="11">
        <f>SUM($L77:BO77)-SUM($L79:BO79)</f>
        <v>0</v>
      </c>
      <c r="BP83" s="11">
        <f>SUM($L77:BP77)-SUM($L79:BP79)</f>
        <v>0</v>
      </c>
      <c r="BQ83" s="11">
        <f>SUM($L77:BQ77)-SUM($L79:BQ79)</f>
        <v>0</v>
      </c>
      <c r="BR83" s="11">
        <f>SUM($L77:BR77)-SUM($L79:BR79)</f>
        <v>0</v>
      </c>
      <c r="BS83" s="11">
        <f>SUM($L77:BS77)-SUM($L79:BS79)</f>
        <v>0</v>
      </c>
      <c r="BT83" s="11">
        <f>SUM($L77:BT77)-SUM($L79:BT79)</f>
        <v>0</v>
      </c>
      <c r="BU83" s="11">
        <f>SUM($L77:BU77)-SUM($L79:BU79)</f>
        <v>0</v>
      </c>
      <c r="BV83" s="11">
        <f>SUM($L77:BV77)-SUM($L79:BV79)</f>
        <v>0</v>
      </c>
      <c r="BW83" s="11">
        <f>SUM($L77:BW77)-SUM($L79:BW79)</f>
        <v>0</v>
      </c>
      <c r="BX83" s="11">
        <f>SUM($L77:BX77)-SUM($L79:BX79)</f>
        <v>0</v>
      </c>
      <c r="BY83" s="11">
        <f>SUM($L77:BY77)-SUM($L79:BY79)</f>
        <v>0</v>
      </c>
      <c r="BZ83" s="11">
        <f>SUM($L77:BZ77)-SUM($L79:BZ79)</f>
        <v>0</v>
      </c>
      <c r="CA83" s="11">
        <f>SUM($L77:CA77)-SUM($L79:CA79)</f>
        <v>0</v>
      </c>
      <c r="CB83" s="11">
        <f>SUM($L77:CB77)-SUM($L79:CB79)</f>
        <v>0</v>
      </c>
      <c r="CC83" s="11">
        <f>SUM($L77:CC77)-SUM($L79:CC79)</f>
        <v>0</v>
      </c>
      <c r="CD83" s="11">
        <f>SUM($L77:CD77)-SUM($L79:CD79)</f>
        <v>0</v>
      </c>
      <c r="CE83" s="11">
        <f>SUM($L77:CE77)-SUM($L79:CE79)</f>
        <v>0</v>
      </c>
    </row>
    <row r="84" spans="3:83">
      <c r="C84" s="4" t="str">
        <f>IF(условия!$E$9=1,условия!$C$9,IF(условия!$E$10=1,условия!$C$10,IF(условия!$E$11=1,условия!$C$11,"")))</f>
        <v>ОСНО</v>
      </c>
    </row>
    <row r="85" spans="3:83">
      <c r="C85" s="4" t="str">
        <f>IF(условия!$E$9=1,условия!$C$9,IF(условия!$E$10=1,условия!$C$10,IF(условия!$E$11=1,условия!$C$11,"")))</f>
        <v>ОСНО</v>
      </c>
    </row>
    <row r="86" spans="3:83" s="1" customFormat="1" ht="12">
      <c r="C86" s="1" t="str">
        <f>IF(условия!$E$9=1,условия!$C$9,IF(условия!$E$10=1,условия!$C$10,IF(условия!$E$11=1,условия!$C$11,"")))</f>
        <v>ОСНО</v>
      </c>
      <c r="E86" s="1" t="s">
        <v>128</v>
      </c>
      <c r="G86" s="95"/>
      <c r="I86" s="96"/>
      <c r="J86" s="97">
        <f>SUM($K86:$CF86)</f>
        <v>699633882.09556675</v>
      </c>
      <c r="K86" s="98"/>
      <c r="L86" s="99">
        <f>L60+L69-L71-L79</f>
        <v>224975000</v>
      </c>
      <c r="M86" s="99">
        <f t="shared" ref="M86:BX86" si="137">M60+M69-M71-M79</f>
        <v>-62525000</v>
      </c>
      <c r="N86" s="99">
        <f t="shared" si="137"/>
        <v>-62525000</v>
      </c>
      <c r="O86" s="99">
        <f t="shared" si="137"/>
        <v>-2525000</v>
      </c>
      <c r="P86" s="99">
        <f t="shared" si="137"/>
        <v>-12525000</v>
      </c>
      <c r="Q86" s="99">
        <f t="shared" si="137"/>
        <v>-12525000</v>
      </c>
      <c r="R86" s="99">
        <f t="shared" si="137"/>
        <v>-9525000</v>
      </c>
      <c r="S86" s="99">
        <f t="shared" si="137"/>
        <v>-10025000</v>
      </c>
      <c r="T86" s="99">
        <f t="shared" si="137"/>
        <v>-10025000</v>
      </c>
      <c r="U86" s="99">
        <f t="shared" si="137"/>
        <v>-2225000</v>
      </c>
      <c r="V86" s="99">
        <f t="shared" si="137"/>
        <v>-3525000</v>
      </c>
      <c r="W86" s="99">
        <f t="shared" si="137"/>
        <v>-3525000</v>
      </c>
      <c r="X86" s="99">
        <f t="shared" si="137"/>
        <v>-3525000</v>
      </c>
      <c r="Y86" s="99">
        <f t="shared" si="137"/>
        <v>-3525000</v>
      </c>
      <c r="Z86" s="99">
        <f t="shared" si="137"/>
        <v>-3525000</v>
      </c>
      <c r="AA86" s="99">
        <f t="shared" si="137"/>
        <v>-3525000</v>
      </c>
      <c r="AB86" s="99">
        <f t="shared" si="137"/>
        <v>-3525000</v>
      </c>
      <c r="AC86" s="99">
        <f t="shared" si="137"/>
        <v>-3525000</v>
      </c>
      <c r="AD86" s="99">
        <f t="shared" si="137"/>
        <v>-3525000</v>
      </c>
      <c r="AE86" s="99">
        <f t="shared" si="137"/>
        <v>-3525000</v>
      </c>
      <c r="AF86" s="99">
        <f t="shared" si="137"/>
        <v>-3525000</v>
      </c>
      <c r="AG86" s="99">
        <f t="shared" si="137"/>
        <v>-1775000</v>
      </c>
      <c r="AH86" s="99">
        <f t="shared" si="137"/>
        <v>0</v>
      </c>
      <c r="AI86" s="99">
        <f t="shared" si="137"/>
        <v>0</v>
      </c>
      <c r="AJ86" s="99">
        <f t="shared" si="137"/>
        <v>0</v>
      </c>
      <c r="AK86" s="99">
        <f t="shared" si="137"/>
        <v>0</v>
      </c>
      <c r="AL86" s="99">
        <f t="shared" si="137"/>
        <v>0</v>
      </c>
      <c r="AM86" s="99">
        <f t="shared" si="137"/>
        <v>0</v>
      </c>
      <c r="AN86" s="99">
        <f t="shared" si="137"/>
        <v>0</v>
      </c>
      <c r="AO86" s="99">
        <f t="shared" si="137"/>
        <v>0</v>
      </c>
      <c r="AP86" s="99">
        <f t="shared" si="137"/>
        <v>0</v>
      </c>
      <c r="AQ86" s="99">
        <f t="shared" si="137"/>
        <v>0</v>
      </c>
      <c r="AR86" s="99">
        <f t="shared" si="137"/>
        <v>0</v>
      </c>
      <c r="AS86" s="99">
        <f t="shared" si="137"/>
        <v>0</v>
      </c>
      <c r="AT86" s="99">
        <f t="shared" si="137"/>
        <v>0</v>
      </c>
      <c r="AU86" s="99">
        <f t="shared" si="137"/>
        <v>0</v>
      </c>
      <c r="AV86" s="99">
        <f t="shared" si="137"/>
        <v>0</v>
      </c>
      <c r="AW86" s="99">
        <f t="shared" si="137"/>
        <v>0</v>
      </c>
      <c r="AX86" s="99">
        <f t="shared" si="137"/>
        <v>0</v>
      </c>
      <c r="AY86" s="99">
        <f t="shared" si="137"/>
        <v>0</v>
      </c>
      <c r="AZ86" s="99">
        <f t="shared" si="137"/>
        <v>0</v>
      </c>
      <c r="BA86" s="99">
        <f t="shared" si="137"/>
        <v>0</v>
      </c>
      <c r="BB86" s="99">
        <f t="shared" si="137"/>
        <v>0</v>
      </c>
      <c r="BC86" s="99">
        <f t="shared" si="137"/>
        <v>0</v>
      </c>
      <c r="BD86" s="99">
        <f t="shared" si="137"/>
        <v>0</v>
      </c>
      <c r="BE86" s="99">
        <f t="shared" si="137"/>
        <v>0</v>
      </c>
      <c r="BF86" s="99">
        <f t="shared" si="137"/>
        <v>0</v>
      </c>
      <c r="BG86" s="99">
        <f t="shared" si="137"/>
        <v>0</v>
      </c>
      <c r="BH86" s="99">
        <f t="shared" si="137"/>
        <v>0</v>
      </c>
      <c r="BI86" s="99">
        <f t="shared" si="137"/>
        <v>0</v>
      </c>
      <c r="BJ86" s="99">
        <f t="shared" si="137"/>
        <v>0</v>
      </c>
      <c r="BK86" s="99">
        <f t="shared" si="137"/>
        <v>22953595.843703359</v>
      </c>
      <c r="BL86" s="99">
        <f t="shared" si="137"/>
        <v>67686153.189428613</v>
      </c>
      <c r="BM86" s="99">
        <f t="shared" si="137"/>
        <v>64036451.946181975</v>
      </c>
      <c r="BN86" s="99">
        <f t="shared" si="137"/>
        <v>60482659.81802395</v>
      </c>
      <c r="BO86" s="99">
        <f t="shared" si="137"/>
        <v>56928867.68986591</v>
      </c>
      <c r="BP86" s="99">
        <f t="shared" si="137"/>
        <v>53375075.561707884</v>
      </c>
      <c r="BQ86" s="99">
        <f t="shared" si="137"/>
        <v>49821283.433549859</v>
      </c>
      <c r="BR86" s="99">
        <f t="shared" si="137"/>
        <v>46267491.305391826</v>
      </c>
      <c r="BS86" s="99">
        <f t="shared" si="137"/>
        <v>42713699.1772338</v>
      </c>
      <c r="BT86" s="99">
        <f t="shared" si="137"/>
        <v>39159907.049075782</v>
      </c>
      <c r="BU86" s="99">
        <f t="shared" si="137"/>
        <v>35606114.920917749</v>
      </c>
      <c r="BV86" s="99">
        <f t="shared" si="137"/>
        <v>32052322.79275972</v>
      </c>
      <c r="BW86" s="99">
        <f t="shared" si="137"/>
        <v>28498530.664601691</v>
      </c>
      <c r="BX86" s="99">
        <f t="shared" si="137"/>
        <v>24944738.536443666</v>
      </c>
      <c r="BY86" s="99">
        <f t="shared" ref="BY86:CE86" si="138">BY60+BY69-BY71-BY79</f>
        <v>21390946.408285633</v>
      </c>
      <c r="BZ86" s="99">
        <f t="shared" si="138"/>
        <v>17837154.280127611</v>
      </c>
      <c r="CA86" s="99">
        <f t="shared" si="138"/>
        <v>14283362.15196958</v>
      </c>
      <c r="CB86" s="99">
        <f t="shared" si="138"/>
        <v>10729570.023811553</v>
      </c>
      <c r="CC86" s="99">
        <f t="shared" si="138"/>
        <v>7175777.8956535244</v>
      </c>
      <c r="CD86" s="99">
        <f t="shared" si="138"/>
        <v>3621985.7674954981</v>
      </c>
      <c r="CE86" s="99">
        <f t="shared" si="138"/>
        <v>68193.639337469474</v>
      </c>
    </row>
    <row r="87" spans="3:83">
      <c r="C87" s="4" t="str">
        <f>IF(условия!$E$9=1,условия!$C$9,IF(условия!$E$10=1,условия!$C$10,IF(условия!$E$11=1,условия!$C$11,"")))</f>
        <v>ОСНО</v>
      </c>
      <c r="E87" s="4" t="s">
        <v>129</v>
      </c>
      <c r="L87" s="100">
        <f>POWER(1+условия!$E$77,1/12)</f>
        <v>1.009488792934583</v>
      </c>
      <c r="M87" s="100">
        <f>L87*$L$87</f>
        <v>1.0190676230605216</v>
      </c>
      <c r="N87" s="100">
        <f t="shared" ref="N87:BY87" si="139">M87*$L$87</f>
        <v>1.0287373447220807</v>
      </c>
      <c r="O87" s="100">
        <f t="shared" si="139"/>
        <v>1.0384988203702212</v>
      </c>
      <c r="P87" s="100">
        <f t="shared" si="139"/>
        <v>1.048352920639523</v>
      </c>
      <c r="Q87" s="100">
        <f t="shared" si="139"/>
        <v>1.0583005244258368</v>
      </c>
      <c r="R87" s="100">
        <f t="shared" si="139"/>
        <v>1.0683425189646742</v>
      </c>
      <c r="S87" s="100">
        <f t="shared" si="139"/>
        <v>1.0784797999103408</v>
      </c>
      <c r="T87" s="100">
        <f t="shared" si="139"/>
        <v>1.0887132714158205</v>
      </c>
      <c r="U87" s="100">
        <f t="shared" si="139"/>
        <v>1.0990438462134178</v>
      </c>
      <c r="V87" s="100">
        <f t="shared" si="139"/>
        <v>1.1094724456961647</v>
      </c>
      <c r="W87" s="100">
        <f t="shared" si="139"/>
        <v>1.120000000000001</v>
      </c>
      <c r="X87" s="100">
        <f t="shared" si="139"/>
        <v>1.130627448086734</v>
      </c>
      <c r="Y87" s="100">
        <f t="shared" si="139"/>
        <v>1.141355737827785</v>
      </c>
      <c r="Z87" s="100">
        <f t="shared" si="139"/>
        <v>1.152185826088731</v>
      </c>
      <c r="AA87" s="100">
        <f t="shared" si="139"/>
        <v>1.1631186788146484</v>
      </c>
      <c r="AB87" s="100">
        <f t="shared" si="139"/>
        <v>1.1741552711162664</v>
      </c>
      <c r="AC87" s="100">
        <f t="shared" si="139"/>
        <v>1.1852965873569379</v>
      </c>
      <c r="AD87" s="100">
        <f t="shared" si="139"/>
        <v>1.1965436212404359</v>
      </c>
      <c r="AE87" s="100">
        <f t="shared" si="139"/>
        <v>1.2078973758995826</v>
      </c>
      <c r="AF87" s="100">
        <f t="shared" si="139"/>
        <v>1.21935886398572</v>
      </c>
      <c r="AG87" s="100">
        <f t="shared" si="139"/>
        <v>1.230929107759029</v>
      </c>
      <c r="AH87" s="100">
        <f t="shared" si="139"/>
        <v>1.2426091391797054</v>
      </c>
      <c r="AI87" s="100">
        <f t="shared" si="139"/>
        <v>1.2544000000000022</v>
      </c>
      <c r="AJ87" s="100">
        <f t="shared" si="139"/>
        <v>1.2663027418571431</v>
      </c>
      <c r="AK87" s="100">
        <f t="shared" si="139"/>
        <v>1.2783184263671203</v>
      </c>
      <c r="AL87" s="100">
        <f t="shared" si="139"/>
        <v>1.29044812521938</v>
      </c>
      <c r="AM87" s="100">
        <f t="shared" si="139"/>
        <v>1.3026929202724076</v>
      </c>
      <c r="AN87" s="100">
        <f t="shared" si="139"/>
        <v>1.3150539036502198</v>
      </c>
      <c r="AO87" s="100">
        <f t="shared" si="139"/>
        <v>1.327532177839772</v>
      </c>
      <c r="AP87" s="100">
        <f t="shared" si="139"/>
        <v>1.3401288557892896</v>
      </c>
      <c r="AQ87" s="100">
        <f t="shared" si="139"/>
        <v>1.352845061007534</v>
      </c>
      <c r="AR87" s="100">
        <f t="shared" si="139"/>
        <v>1.3656819276640078</v>
      </c>
      <c r="AS87" s="100">
        <f t="shared" si="139"/>
        <v>1.3786406006901137</v>
      </c>
      <c r="AT87" s="100">
        <f t="shared" si="139"/>
        <v>1.3917222358812713</v>
      </c>
      <c r="AU87" s="100">
        <f t="shared" si="139"/>
        <v>1.4049280000000037</v>
      </c>
      <c r="AV87" s="100">
        <f t="shared" si="139"/>
        <v>1.4182590708800016</v>
      </c>
      <c r="AW87" s="100">
        <f t="shared" si="139"/>
        <v>1.4317166375311761</v>
      </c>
      <c r="AX87" s="100">
        <f t="shared" si="139"/>
        <v>1.4453019002457068</v>
      </c>
      <c r="AY87" s="100">
        <f t="shared" si="139"/>
        <v>1.4590160707050976</v>
      </c>
      <c r="AZ87" s="100">
        <f t="shared" si="139"/>
        <v>1.4728603720882474</v>
      </c>
      <c r="BA87" s="100">
        <f t="shared" si="139"/>
        <v>1.4868360391805457</v>
      </c>
      <c r="BB87" s="100">
        <f t="shared" si="139"/>
        <v>1.5009443184840054</v>
      </c>
      <c r="BC87" s="100">
        <f t="shared" si="139"/>
        <v>1.5151864683284391</v>
      </c>
      <c r="BD87" s="100">
        <f t="shared" si="139"/>
        <v>1.5295637589836899</v>
      </c>
      <c r="BE87" s="100">
        <f t="shared" si="139"/>
        <v>1.5440774727729287</v>
      </c>
      <c r="BF87" s="100">
        <f t="shared" si="139"/>
        <v>1.5587289041870254</v>
      </c>
      <c r="BG87" s="100">
        <f t="shared" si="139"/>
        <v>1.5735193600000057</v>
      </c>
      <c r="BH87" s="100">
        <f t="shared" si="139"/>
        <v>1.5884501593856033</v>
      </c>
      <c r="BI87" s="100">
        <f t="shared" si="139"/>
        <v>1.6035226340349187</v>
      </c>
      <c r="BJ87" s="100">
        <f t="shared" si="139"/>
        <v>1.6187381282751931</v>
      </c>
      <c r="BK87" s="100">
        <f t="shared" si="139"/>
        <v>1.6340979991897109</v>
      </c>
      <c r="BL87" s="100">
        <f t="shared" si="139"/>
        <v>1.6496036167388386</v>
      </c>
      <c r="BM87" s="100">
        <f t="shared" si="139"/>
        <v>1.6652563638822127</v>
      </c>
      <c r="BN87" s="100">
        <f t="shared" si="139"/>
        <v>1.6810576367020877</v>
      </c>
      <c r="BO87" s="100">
        <f t="shared" si="139"/>
        <v>1.6970088445278533</v>
      </c>
      <c r="BP87" s="100">
        <f t="shared" si="139"/>
        <v>1.7131114100617342</v>
      </c>
      <c r="BQ87" s="100">
        <f t="shared" si="139"/>
        <v>1.7293667695056816</v>
      </c>
      <c r="BR87" s="100">
        <f t="shared" si="139"/>
        <v>1.7457763726894697</v>
      </c>
      <c r="BS87" s="100">
        <f t="shared" si="139"/>
        <v>1.7623416832000076</v>
      </c>
      <c r="BT87" s="100">
        <f t="shared" si="139"/>
        <v>1.779064178511877</v>
      </c>
      <c r="BU87" s="100">
        <f t="shared" si="139"/>
        <v>1.7959453501191103</v>
      </c>
      <c r="BV87" s="100">
        <f t="shared" si="139"/>
        <v>1.8129867036682177</v>
      </c>
      <c r="BW87" s="100">
        <f t="shared" si="139"/>
        <v>1.8301897590924776</v>
      </c>
      <c r="BX87" s="100">
        <f t="shared" si="139"/>
        <v>1.8475560507475006</v>
      </c>
      <c r="BY87" s="100">
        <f t="shared" si="139"/>
        <v>1.8650871275480796</v>
      </c>
      <c r="BZ87" s="100">
        <f t="shared" ref="BZ87:CE87" si="140">BY87*$L$87</f>
        <v>1.8827845531063396</v>
      </c>
      <c r="CA87" s="100">
        <f t="shared" si="140"/>
        <v>1.9006499058711972</v>
      </c>
      <c r="CB87" s="100">
        <f t="shared" si="140"/>
        <v>1.9186847792691437</v>
      </c>
      <c r="CC87" s="100">
        <f t="shared" si="140"/>
        <v>1.9368907818463648</v>
      </c>
      <c r="CD87" s="100">
        <f t="shared" si="140"/>
        <v>1.9552695374122075</v>
      </c>
      <c r="CE87" s="100">
        <f t="shared" si="140"/>
        <v>1.9738226851840099</v>
      </c>
    </row>
    <row r="88" spans="3:83" s="1" customFormat="1" ht="12">
      <c r="C88" s="1" t="str">
        <f>IF(условия!$E$9=1,условия!$C$9,IF(условия!$E$10=1,условия!$C$10,IF(условия!$E$11=1,условия!$C$11,"")))</f>
        <v>ОСНО</v>
      </c>
      <c r="E88" s="1" t="s">
        <v>132</v>
      </c>
      <c r="F88" s="1" t="s">
        <v>130</v>
      </c>
      <c r="G88" s="95"/>
      <c r="H88" s="2">
        <f>условия!E77</f>
        <v>0.12</v>
      </c>
      <c r="I88" s="96"/>
      <c r="J88" s="97">
        <f>SUM($K88:$CF88)</f>
        <v>412270265.3990463</v>
      </c>
      <c r="K88" s="98"/>
      <c r="L88" s="99">
        <f>IF(L87=0,0,L86/L87)</f>
        <v>222860324.52722716</v>
      </c>
      <c r="M88" s="99">
        <f t="shared" ref="M88:BX88" si="141">IF(M87=0,0,M86/M87)</f>
        <v>-61355104.004012391</v>
      </c>
      <c r="N88" s="99">
        <f t="shared" si="141"/>
        <v>-60778390.442209028</v>
      </c>
      <c r="O88" s="99">
        <f t="shared" si="141"/>
        <v>-2431394.1917621498</v>
      </c>
      <c r="P88" s="99">
        <f t="shared" si="141"/>
        <v>-11947312.544671902</v>
      </c>
      <c r="Q88" s="99">
        <f t="shared" si="141"/>
        <v>-11835012.561101422</v>
      </c>
      <c r="R88" s="99">
        <f t="shared" si="141"/>
        <v>-8915679.9724030755</v>
      </c>
      <c r="S88" s="99">
        <f t="shared" si="141"/>
        <v>-9295491.6734030861</v>
      </c>
      <c r="T88" s="99">
        <f t="shared" si="141"/>
        <v>-9208117.7507489715</v>
      </c>
      <c r="U88" s="99">
        <f t="shared" si="141"/>
        <v>-2024487.0190264806</v>
      </c>
      <c r="V88" s="99">
        <f t="shared" si="141"/>
        <v>-3177185.7099057161</v>
      </c>
      <c r="W88" s="99">
        <f t="shared" si="141"/>
        <v>-3147321.4285714258</v>
      </c>
      <c r="X88" s="99">
        <f t="shared" si="141"/>
        <v>-3117737.8595973961</v>
      </c>
      <c r="Y88" s="99">
        <f t="shared" si="141"/>
        <v>-3088432.3643991482</v>
      </c>
      <c r="Z88" s="99">
        <f t="shared" si="141"/>
        <v>-3059402.3291938468</v>
      </c>
      <c r="AA88" s="99">
        <f t="shared" si="141"/>
        <v>-3030645.1647671759</v>
      </c>
      <c r="AB88" s="99">
        <f t="shared" si="141"/>
        <v>-3002158.3062424031</v>
      </c>
      <c r="AC88" s="99">
        <f t="shared" si="141"/>
        <v>-2973939.212851617</v>
      </c>
      <c r="AD88" s="99">
        <f t="shared" si="141"/>
        <v>-2945985.3677091138</v>
      </c>
      <c r="AE88" s="99">
        <f t="shared" si="141"/>
        <v>-2918294.2775869127</v>
      </c>
      <c r="AF88" s="99">
        <f t="shared" si="141"/>
        <v>-2890863.4726923849</v>
      </c>
      <c r="AG88" s="99">
        <f t="shared" si="141"/>
        <v>-1442000.1840979133</v>
      </c>
      <c r="AH88" s="99">
        <f t="shared" si="141"/>
        <v>0</v>
      </c>
      <c r="AI88" s="99">
        <f t="shared" si="141"/>
        <v>0</v>
      </c>
      <c r="AJ88" s="99">
        <f t="shared" si="141"/>
        <v>0</v>
      </c>
      <c r="AK88" s="99">
        <f t="shared" si="141"/>
        <v>0</v>
      </c>
      <c r="AL88" s="99">
        <f t="shared" si="141"/>
        <v>0</v>
      </c>
      <c r="AM88" s="99">
        <f t="shared" si="141"/>
        <v>0</v>
      </c>
      <c r="AN88" s="99">
        <f t="shared" si="141"/>
        <v>0</v>
      </c>
      <c r="AO88" s="99">
        <f t="shared" si="141"/>
        <v>0</v>
      </c>
      <c r="AP88" s="99">
        <f t="shared" si="141"/>
        <v>0</v>
      </c>
      <c r="AQ88" s="99">
        <f t="shared" si="141"/>
        <v>0</v>
      </c>
      <c r="AR88" s="99">
        <f t="shared" si="141"/>
        <v>0</v>
      </c>
      <c r="AS88" s="99">
        <f t="shared" si="141"/>
        <v>0</v>
      </c>
      <c r="AT88" s="99">
        <f t="shared" si="141"/>
        <v>0</v>
      </c>
      <c r="AU88" s="99">
        <f t="shared" si="141"/>
        <v>0</v>
      </c>
      <c r="AV88" s="99">
        <f t="shared" si="141"/>
        <v>0</v>
      </c>
      <c r="AW88" s="99">
        <f t="shared" si="141"/>
        <v>0</v>
      </c>
      <c r="AX88" s="99">
        <f t="shared" si="141"/>
        <v>0</v>
      </c>
      <c r="AY88" s="99">
        <f t="shared" si="141"/>
        <v>0</v>
      </c>
      <c r="AZ88" s="99">
        <f t="shared" si="141"/>
        <v>0</v>
      </c>
      <c r="BA88" s="99">
        <f t="shared" si="141"/>
        <v>0</v>
      </c>
      <c r="BB88" s="99">
        <f t="shared" si="141"/>
        <v>0</v>
      </c>
      <c r="BC88" s="99">
        <f t="shared" si="141"/>
        <v>0</v>
      </c>
      <c r="BD88" s="99">
        <f t="shared" si="141"/>
        <v>0</v>
      </c>
      <c r="BE88" s="99">
        <f t="shared" si="141"/>
        <v>0</v>
      </c>
      <c r="BF88" s="99">
        <f t="shared" si="141"/>
        <v>0</v>
      </c>
      <c r="BG88" s="99">
        <f t="shared" si="141"/>
        <v>0</v>
      </c>
      <c r="BH88" s="99">
        <f t="shared" si="141"/>
        <v>0</v>
      </c>
      <c r="BI88" s="99">
        <f t="shared" si="141"/>
        <v>0</v>
      </c>
      <c r="BJ88" s="99">
        <f t="shared" si="141"/>
        <v>0</v>
      </c>
      <c r="BK88" s="99">
        <f t="shared" si="141"/>
        <v>14046645.828515306</v>
      </c>
      <c r="BL88" s="99">
        <f t="shared" si="141"/>
        <v>41031768.179097369</v>
      </c>
      <c r="BM88" s="99">
        <f t="shared" si="141"/>
        <v>38454410.585102811</v>
      </c>
      <c r="BN88" s="99">
        <f t="shared" si="141"/>
        <v>35978932.844134547</v>
      </c>
      <c r="BO88" s="99">
        <f t="shared" si="141"/>
        <v>33546594.57046308</v>
      </c>
      <c r="BP88" s="99">
        <f t="shared" si="141"/>
        <v>31156803.491131056</v>
      </c>
      <c r="BQ88" s="99">
        <f t="shared" si="141"/>
        <v>28808974.655960727</v>
      </c>
      <c r="BR88" s="99">
        <f t="shared" si="141"/>
        <v>26502530.352220356</v>
      </c>
      <c r="BS88" s="99">
        <f t="shared" si="141"/>
        <v>24236900.020247795</v>
      </c>
      <c r="BT88" s="99">
        <f t="shared" si="141"/>
        <v>22011520.170020863</v>
      </c>
      <c r="BU88" s="99">
        <f t="shared" si="141"/>
        <v>19825834.298664093</v>
      </c>
      <c r="BV88" s="99">
        <f t="shared" si="141"/>
        <v>17679292.808881734</v>
      </c>
      <c r="BW88" s="99">
        <f t="shared" si="141"/>
        <v>15571352.928306758</v>
      </c>
      <c r="BX88" s="99">
        <f t="shared" si="141"/>
        <v>13501478.629755942</v>
      </c>
      <c r="BY88" s="99">
        <f t="shared" ref="BY88:CE88" si="142">IF(BY87=0,0,BY86/BY87)</f>
        <v>11469140.552381085</v>
      </c>
      <c r="BZ88" s="99">
        <f t="shared" si="142"/>
        <v>9473815.9237065762</v>
      </c>
      <c r="CA88" s="99">
        <f t="shared" si="142"/>
        <v>7514988.4825435765</v>
      </c>
      <c r="CB88" s="99">
        <f t="shared" si="142"/>
        <v>5592148.4027713034</v>
      </c>
      <c r="CC88" s="99">
        <f t="shared" si="142"/>
        <v>3704792.2179758255</v>
      </c>
      <c r="CD88" s="99">
        <f t="shared" si="142"/>
        <v>1852422.7469370712</v>
      </c>
      <c r="CE88" s="99">
        <f t="shared" si="142"/>
        <v>34549.019954703843</v>
      </c>
    </row>
    <row r="89" spans="3:83" s="1" customFormat="1" ht="12">
      <c r="C89" s="1" t="str">
        <f>IF(условия!$E$9=1,условия!$C$9,IF(условия!$E$10=1,условия!$C$10,IF(условия!$E$11=1,условия!$C$11,"")))</f>
        <v>ОСНО</v>
      </c>
      <c r="E89" s="102" t="s">
        <v>131</v>
      </c>
      <c r="F89" s="102"/>
      <c r="G89" s="103"/>
      <c r="H89" s="102"/>
      <c r="I89" s="103"/>
      <c r="J89" s="104">
        <f>J88-J57</f>
        <v>112270265.3990463</v>
      </c>
      <c r="K89" s="98"/>
    </row>
    <row r="90" spans="3:83">
      <c r="C90" s="4" t="str">
        <f>IF(условия!$E$9=1,условия!$C$9,IF(условия!$E$10=1,условия!$C$10,IF(условия!$E$11=1,условия!$C$11,"")))</f>
        <v>ОСНО</v>
      </c>
    </row>
    <row r="91" spans="3:83">
      <c r="C91" s="4" t="str">
        <f>IF(условия!$E$9=1,условия!$C$9,IF(условия!$E$10=1,условия!$C$10,IF(условия!$E$11=1,условия!$C$11,"")))</f>
        <v>ОСНО</v>
      </c>
      <c r="E91" s="105" t="s">
        <v>133</v>
      </c>
      <c r="F91" s="106"/>
      <c r="G91" s="106"/>
      <c r="H91" s="106"/>
      <c r="I91" s="107"/>
      <c r="J91" s="108">
        <f>SUMIFS($7:$7,$82:$82,1)</f>
        <v>45901</v>
      </c>
      <c r="K91" s="43"/>
      <c r="L91" s="69"/>
    </row>
    <row r="92" spans="3:83">
      <c r="C92" s="4" t="str">
        <f>IF(условия!$E$9=1,условия!$C$9,IF(условия!$E$10=1,условия!$C$10,IF(условия!$E$11=1,условия!$C$11,"")))</f>
        <v>ОСНО</v>
      </c>
      <c r="E92" s="109" t="s">
        <v>134</v>
      </c>
      <c r="F92" s="110"/>
      <c r="G92" s="110"/>
      <c r="H92" s="110"/>
      <c r="I92" s="111"/>
      <c r="J92" s="112">
        <f>(EOMONTH(J91,0)-условия!$E$15)/365</f>
        <v>3.0821917808219177</v>
      </c>
      <c r="K92" s="43"/>
      <c r="L92" s="69"/>
    </row>
    <row r="93" spans="3:83">
      <c r="C93" s="4" t="str">
        <f>IF(условия!$E$9=1,условия!$C$9,IF(условия!$E$10=1,условия!$C$10,IF(условия!$E$11=1,условия!$C$11,"")))</f>
        <v>ОСНО</v>
      </c>
    </row>
    <row r="94" spans="3:83">
      <c r="C94" s="4" t="str">
        <f>IF(условия!$E$9=1,условия!$C$9,IF(условия!$E$10=1,условия!$C$10,IF(условия!$E$11=1,условия!$C$11,"")))</f>
        <v>ОСНО</v>
      </c>
    </row>
    <row r="95" spans="3:83">
      <c r="C95" s="4" t="str">
        <f>IF(условия!$E$9=1,условия!$C$9,IF(условия!$E$10=1,условия!$C$10,IF(условия!$E$11=1,условия!$C$11,"")))</f>
        <v>ОСНО</v>
      </c>
    </row>
    <row r="96" spans="3:83">
      <c r="C96" s="4" t="str">
        <f>IF(условия!$E$9=1,условия!$C$9,IF(условия!$E$10=1,условия!$C$10,IF(условия!$E$11=1,условия!$C$11,"")))</f>
        <v>ОСНО</v>
      </c>
    </row>
    <row r="97" spans="3:3">
      <c r="C97" s="4" t="str">
        <f>IF(условия!$E$9=1,условия!$C$9,IF(условия!$E$10=1,условия!$C$10,IF(условия!$E$11=1,условия!$C$11,"")))</f>
        <v>ОСНО</v>
      </c>
    </row>
  </sheetData>
  <conditionalFormatting sqref="L10:CE16">
    <cfRule type="containsBlanks" dxfId="4" priority="5">
      <formula>LEN(TRIM(L10))=0</formula>
    </cfRule>
  </conditionalFormatting>
  <conditionalFormatting sqref="H36:H39">
    <cfRule type="containsBlanks" dxfId="3" priority="4">
      <formula>LEN(TRIM(H36))=0</formula>
    </cfRule>
  </conditionalFormatting>
  <conditionalFormatting sqref="L60:CE60">
    <cfRule type="cellIs" dxfId="2" priority="3" operator="lessThan">
      <formula>0</formula>
    </cfRule>
  </conditionalFormatting>
  <conditionalFormatting sqref="L62:CE62">
    <cfRule type="cellIs" dxfId="1" priority="2" operator="lessThan">
      <formula>0</formula>
    </cfRule>
  </conditionalFormatting>
  <conditionalFormatting sqref="L82:CE82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"01;8F0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 040G8< / s t r i n g > < / k e y > < v a l u e > < i n t > 3 3 8 < / i n t > < / v a l u e > < / i t e m > < i t e m > < k e y > < s t r i n g > 0B0  =0G0;0< / s t r i n g > < / k e y > < v a l u e > < i n t > 1 1 3 < / i n t > < / v a l u e > < / i t e m > < i t e m > < k e y > < s t r i n g > !@>:  2K?>;=5=8O< / s t r i n g > < / k e y > < v a l u e > < i n t > 1 5 0 < / i n t > < / v a l u e > < / i t e m > < i t e m > < k e y > < s t r i n g > 20@B0;K< / s t r i n g > < / k e y > < v a l u e > < i n t > 9 7 < / i n t > < / v a l u e > < / i t e m > < / C o l u m n W i d t h s > < C o l u m n D i s p l a y I n d e x > < i t e m > < k e y > < s t r i n g > 040G8< / s t r i n g > < / k e y > < v a l u e > < i n t > 0 < / i n t > < / v a l u e > < / i t e m > < i t e m > < k e y > < s t r i n g > 0B0  =0G0;0< / s t r i n g > < / k e y > < v a l u e > < i n t > 1 < / i n t > < / v a l u e > < / i t e m > < i t e m > < k e y > < s t r i n g > !@>:  2K?>;=5=8O< / s t r i n g > < / k e y > < v a l u e > < i n t > 2 < / i n t > < / v a l u e > < / i t e m > < i t e m > < k e y > < s t r i n g > 20@B0;K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 "01;8F01 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 "01;8F01 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 C o l u m n s \ 040G8< / K e y > < / D i a g r a m O b j e c t K e y > < D i a g r a m O b j e c t K e y > < K e y > C o l u m n s \ 0B0  =0G0;0< / K e y > < / D i a g r a m O b j e c t K e y > < D i a g r a m O b j e c t K e y > < K e y > C o l u m n s \ !@>:  2K?>;=5=8O< / K e y > < / D i a g r a m O b j e c t K e y > < D i a g r a m O b j e c t K e y > < K e y > C o l u m n s \ 20@B0;K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 C o l u m n s \ 040G8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 C o l u m n s \ 0B0  =0G0;0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 C o l u m n s \ !@>:  2K?>;=5=8O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 C o l u m n s \ 20@B0;K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 "01;8F01 < / K e y > < / D i a g r a m O b j e c t K e y > < D i a g r a m O b j e c t K e y > < K e y > A c t i o n s \ A d d   t o   h i e r a r c h y   F o r   & l t ; T a b l e s \ "01;8F01 \ H i e r a r c h i e s \ 5@0@E8O1 & g t ; < / K e y > < / D i a g r a m O b j e c t K e y > < D i a g r a m O b j e c t K e y > < K e y > A c t i o n s \ M o v e   t o   a   H i e r a r c h y   i n   T a b l e   "01;8F01 < / K e y > < / D i a g r a m O b j e c t K e y > < D i a g r a m O b j e c t K e y > < K e y > A c t i o n s \ M o v e   i n t o   h i e r a r c h y   F o r   & l t ; T a b l e s \ "01;8F01 \ H i e r a r c h i e s \ 5@0@E8O1 & g t ; 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 T a g s \ T a b l e s \ & l t ; T a b l e s \ "01;8F01 & g t ; < / K e y > < / D i a g r a m O b j e c t K e y > < D i a g r a m O b j e c t K e y > < K e y > D y n a m i c   T a g s \ H i e r a r c h i e s \ & l t ; T a b l e s \ "01;8F01 \ H i e r a r c h i e s \ 5@0@E8O1 & g t ; < / K e y > < / D i a g r a m O b j e c t K e y > < D i a g r a m O b j e c t K e y > < K e y > T a b l e s \ "01;8F01 < / K e y > < / D i a g r a m O b j e c t K e y > < D i a g r a m O b j e c t K e y > < K e y > T a b l e s \ "01;8F01 \ C o l u m n s \ 040G8< / K e y > < / D i a g r a m O b j e c t K e y > < D i a g r a m O b j e c t K e y > < K e y > T a b l e s \ "01;8F01 \ C o l u m n s \ 0B0  =0G0;0< / K e y > < / D i a g r a m O b j e c t K e y > < D i a g r a m O b j e c t K e y > < K e y > T a b l e s \ "01;8F01 \ C o l u m n s \ !@>:  2K?>;=5=8O< / K e y > < / D i a g r a m O b j e c t K e y > < D i a g r a m O b j e c t K e y > < K e y > T a b l e s \ "01;8F01 \ C o l u m n s \ 20@B0;K< / K e y > < / D i a g r a m O b j e c t K e y > < D i a g r a m O b j e c t K e y > < K e y > T a b l e s \ "01;8F01 \ H i e r a r c h i e s \ 5@0@E8O1 < / K e y > < / D i a g r a m O b j e c t K e y > < D i a g r a m O b j e c t K e y > < K e y > T a b l e s \ "01;8F01 \ H i e r a r c h i e s \ 5@0@E8O1 \ L e v e l s \ 0B0  =0G0;0< / K e y > < / D i a g r a m O b j e c t K e y > < D i a g r a m O b j e c t K e y > < K e y > T a b l e s \ "01;8F01 \ 5@0@E8O1 \ A d d i t i o n a l   I n f o \ "5:AB  C:070=8O< / K e y > < / D i a g r a m O b j e c t K e y > < / A l l K e y s > < S e l e c t e d K e y s > < D i a g r a m O b j e c t K e y > < K e y > T a b l e s \ "01;8F01 \ H i e r a r c h i e s \ 5@0@E8O1 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 "01;8F01 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 & l t ; T a b l e s \ "01;8F01 \ H i e r a r c h i e s \ 5@0@E8O1 & g t ; 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 "01;8F01 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 & l t ; T a b l e s \ "01;8F01 \ H i e r a r c h i e s \ 5@0@E8O1 & g t ; 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 T a g s \ T a b l e s \ & l t ; T a b l e s \ "01;8F01 & g t ; 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 T a g s \ H i e r a r c h i e s \ & l t ; T a b l e s \ "01;8F01 \ H i e r a r c h i e s \ 5@0@E8O1 & g t ; 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 T a b l e s \ "01;8F01 < / K e y > < / a : K e y > < a : V a l u e   i : t y p e = " D i a g r a m D i s p l a y N o d e V i e w S t a t e " > < H e i g h t > 1 5 0 < / H e i g h t > < I s E x p a n d e d > t r u e < / I s E x p a n d e d > < L a y e d O u t > t r u e < / L a y e d O u t > < S c r o l l V e r t i c a l O f f s e t > 8 . 4 2 0 0 0 0 0 0 0 0 0 0 0 1 5 9 < / S c r o l l V e r t i c a l O f f s e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 T a b l e s \ "01;8F01 \ C o l u m n s \ 040G8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 T a b l e s \ "01;8F01 \ C o l u m n s \ 0B0  =0G0;0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 T a b l e s \ "01;8F01 \ C o l u m n s \ !@>:  2K?>;=5=8O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 T a b l e s \ "01;8F01 \ C o l u m n s \ 20@B0;K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 T a b l e s \ "01;8F01 \ H i e r a r c h i e s \ 5@0@E8O1 < / K e y > < / a : K e y > < a : V a l u e   i : t y p e = " D i a g r a m D i s p l a y N o d e V i e w S t a t e " > < H e i g h t > 1 5 0 < / H e i g h t > < I s E x p a n d e d > t r u e < / I s E x p a n d e d > < I s F o c u s e d > t r u e < / I s F o c u s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 T a b l e s \ "01;8F01 \ H i e r a r c h i e s \ 5@0@E8O1 \ L e v e l s \ 0B0  =0G0;0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 T a b l e s \ "01;8F01 \ 5@0@E8O1 \ A d d i t i o n a l   I n f o \ "5:AB  C:070=8O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 "01;8F01 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 2 0 1 7 - 1 2 - 1 4 T 1 6 : 1 2 : 1 8 . 8 3 4 5 4 3 6 + 0 3 : 0 0 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C l i e n t W i n d o w X M L " > < C u s t o m C o n t e n t > < ! [ C D A T A [ "01;8F01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"01;8F01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 "01;8F01 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 "01;8F01 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 C o l u m n s \ 040G8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 C o l u m n s \ 0B0  =0G0;0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 C o l u m n s \ !@>:  2K?>;=5=8O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 C o l u m n s \ 20@B0;K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 "01;8F01 < / E x c e l T a b l e N a m e > < G e m i n i T a b l e I d > "01;8F01 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Props1.xml><?xml version="1.0" encoding="utf-8"?>
<ds:datastoreItem xmlns:ds="http://schemas.openxmlformats.org/officeDocument/2006/customXml" ds:itemID="{98B895DF-4615-4EC0-8680-305E0389120C}">
  <ds:schemaRefs/>
</ds:datastoreItem>
</file>

<file path=customXml/itemProps10.xml><?xml version="1.0" encoding="utf-8"?>
<ds:datastoreItem xmlns:ds="http://schemas.openxmlformats.org/officeDocument/2006/customXml" ds:itemID="{AB85613B-BFD5-4C3D-AAA8-6090FCF19692}">
  <ds:schemaRefs/>
</ds:datastoreItem>
</file>

<file path=customXml/itemProps11.xml><?xml version="1.0" encoding="utf-8"?>
<ds:datastoreItem xmlns:ds="http://schemas.openxmlformats.org/officeDocument/2006/customXml" ds:itemID="{63D275FB-BA80-4597-A054-25F3585E8C19}">
  <ds:schemaRefs/>
</ds:datastoreItem>
</file>

<file path=customXml/itemProps12.xml><?xml version="1.0" encoding="utf-8"?>
<ds:datastoreItem xmlns:ds="http://schemas.openxmlformats.org/officeDocument/2006/customXml" ds:itemID="{6DFA64A8-A5A8-4568-BA1F-F225FD813F4C}">
  <ds:schemaRefs/>
</ds:datastoreItem>
</file>

<file path=customXml/itemProps13.xml><?xml version="1.0" encoding="utf-8"?>
<ds:datastoreItem xmlns:ds="http://schemas.openxmlformats.org/officeDocument/2006/customXml" ds:itemID="{1C713049-58AE-47A4-A55E-B193EB969161}">
  <ds:schemaRefs/>
</ds:datastoreItem>
</file>

<file path=customXml/itemProps14.xml><?xml version="1.0" encoding="utf-8"?>
<ds:datastoreItem xmlns:ds="http://schemas.openxmlformats.org/officeDocument/2006/customXml" ds:itemID="{461AE9DC-C18C-4C01-9349-783C70CCC4F8}">
  <ds:schemaRefs/>
</ds:datastoreItem>
</file>

<file path=customXml/itemProps15.xml><?xml version="1.0" encoding="utf-8"?>
<ds:datastoreItem xmlns:ds="http://schemas.openxmlformats.org/officeDocument/2006/customXml" ds:itemID="{3A91DB12-63F5-431A-BB9A-05A0CC3F9CF1}">
  <ds:schemaRefs/>
</ds:datastoreItem>
</file>

<file path=customXml/itemProps16.xml><?xml version="1.0" encoding="utf-8"?>
<ds:datastoreItem xmlns:ds="http://schemas.openxmlformats.org/officeDocument/2006/customXml" ds:itemID="{BF2E6ECC-75A8-4B0C-B4C0-B0C9A5417DFF}">
  <ds:schemaRefs/>
</ds:datastoreItem>
</file>

<file path=customXml/itemProps17.xml><?xml version="1.0" encoding="utf-8"?>
<ds:datastoreItem xmlns:ds="http://schemas.openxmlformats.org/officeDocument/2006/customXml" ds:itemID="{0A7693B4-60F8-46BB-A635-437ED6B28EA0}">
  <ds:schemaRefs/>
</ds:datastoreItem>
</file>

<file path=customXml/itemProps18.xml><?xml version="1.0" encoding="utf-8"?>
<ds:datastoreItem xmlns:ds="http://schemas.openxmlformats.org/officeDocument/2006/customXml" ds:itemID="{51E55E06-470F-4BF1-AE26-26A17BDF6243}">
  <ds:schemaRefs/>
</ds:datastoreItem>
</file>

<file path=customXml/itemProps2.xml><?xml version="1.0" encoding="utf-8"?>
<ds:datastoreItem xmlns:ds="http://schemas.openxmlformats.org/officeDocument/2006/customXml" ds:itemID="{8118F3C4-8BCA-429F-9C9F-07AF4A17100E}">
  <ds:schemaRefs/>
</ds:datastoreItem>
</file>

<file path=customXml/itemProps3.xml><?xml version="1.0" encoding="utf-8"?>
<ds:datastoreItem xmlns:ds="http://schemas.openxmlformats.org/officeDocument/2006/customXml" ds:itemID="{98C3D811-3321-4CDA-8052-E51270220A21}">
  <ds:schemaRefs/>
</ds:datastoreItem>
</file>

<file path=customXml/itemProps4.xml><?xml version="1.0" encoding="utf-8"?>
<ds:datastoreItem xmlns:ds="http://schemas.openxmlformats.org/officeDocument/2006/customXml" ds:itemID="{AFB9FD73-8571-4C20-BEF1-3B159703BCA5}">
  <ds:schemaRefs/>
</ds:datastoreItem>
</file>

<file path=customXml/itemProps5.xml><?xml version="1.0" encoding="utf-8"?>
<ds:datastoreItem xmlns:ds="http://schemas.openxmlformats.org/officeDocument/2006/customXml" ds:itemID="{29813A1C-C818-4D86-8792-3F552FC142CC}">
  <ds:schemaRefs/>
</ds:datastoreItem>
</file>

<file path=customXml/itemProps6.xml><?xml version="1.0" encoding="utf-8"?>
<ds:datastoreItem xmlns:ds="http://schemas.openxmlformats.org/officeDocument/2006/customXml" ds:itemID="{F5F44B23-BBBB-4E5A-8771-9FB3B00A0B17}">
  <ds:schemaRefs/>
</ds:datastoreItem>
</file>

<file path=customXml/itemProps7.xml><?xml version="1.0" encoding="utf-8"?>
<ds:datastoreItem xmlns:ds="http://schemas.openxmlformats.org/officeDocument/2006/customXml" ds:itemID="{5A6648DB-53CE-4BF2-AE25-D0A68F12E94F}">
  <ds:schemaRefs/>
</ds:datastoreItem>
</file>

<file path=customXml/itemProps8.xml><?xml version="1.0" encoding="utf-8"?>
<ds:datastoreItem xmlns:ds="http://schemas.openxmlformats.org/officeDocument/2006/customXml" ds:itemID="{8EA30182-F9CF-468B-A5D1-7D5B3773697F}">
  <ds:schemaRefs/>
</ds:datastoreItem>
</file>

<file path=customXml/itemProps9.xml><?xml version="1.0" encoding="utf-8"?>
<ds:datastoreItem xmlns:ds="http://schemas.openxmlformats.org/officeDocument/2006/customXml" ds:itemID="{0DB45E18-1AE7-49D9-AFF2-31806435B5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методология</vt:lpstr>
      <vt:lpstr>условия</vt:lpstr>
      <vt:lpstr>ежемесячно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Пользователь Windows</cp:lastModifiedBy>
  <cp:lastPrinted>2017-12-28T15:31:28Z</cp:lastPrinted>
  <dcterms:created xsi:type="dcterms:W3CDTF">2017-02-02T04:50:01Z</dcterms:created>
  <dcterms:modified xsi:type="dcterms:W3CDTF">2021-05-30T17:26:11Z</dcterms:modified>
</cp:coreProperties>
</file>